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1\بخشی\"/>
    </mc:Choice>
  </mc:AlternateContent>
  <xr:revisionPtr revIDLastSave="0" documentId="13_ncr:1_{3BB31B43-25A8-4816-B364-1B55F23A7C24}" xr6:coauthVersionLast="47" xr6:coauthVersionMax="47" xr10:uidLastSave="{00000000-0000-0000-0000-000000000000}"/>
  <bookViews>
    <workbookView xWindow="-120" yWindow="-120" windowWidth="29040" windowHeight="15720" tabRatio="798" activeTab="4" xr2:uid="{421CB865-C381-41C8-96D1-36C6EC249D67}"/>
  </bookViews>
  <sheets>
    <sheet name="سهام" sheetId="1" r:id="rId1"/>
    <sheet name="سپرده" sheetId="2" r:id="rId2"/>
    <sheet name="جمع درآمدها" sheetId="10" r:id="rId3"/>
    <sheet name="سایر درآمدها" sheetId="11" r:id="rId4"/>
    <sheet name="درآمد سرمایه‌گذاری در سهام" sheetId="7" r:id="rId5"/>
    <sheet name="درآمد سود سهام" sheetId="12" r:id="rId6"/>
    <sheet name="درآمد سپرده بانکی" sheetId="8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externalReferences>
    <externalReference r:id="rId11"/>
  </externalReferences>
  <definedNames>
    <definedName name="_xlnm._FilterDatabase" localSheetId="8" hidden="1">'درآمد ناشی از فروش'!$K$6:$Q$25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5" l="1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8" i="5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8" i="13"/>
  <c r="M25" i="13"/>
  <c r="O25" i="13"/>
  <c r="S9" i="12"/>
  <c r="Q10" i="1"/>
  <c r="S10" i="1"/>
  <c r="U10" i="1"/>
  <c r="W10" i="1"/>
  <c r="Q11" i="1"/>
  <c r="S11" i="1"/>
  <c r="U11" i="1"/>
  <c r="W11" i="1"/>
  <c r="Q12" i="1"/>
  <c r="S12" i="1"/>
  <c r="U12" i="1"/>
  <c r="W12" i="1"/>
  <c r="Q13" i="1"/>
  <c r="S13" i="1"/>
  <c r="U13" i="1"/>
  <c r="W13" i="1"/>
  <c r="Q14" i="1"/>
  <c r="S14" i="1"/>
  <c r="U14" i="1"/>
  <c r="W14" i="1"/>
  <c r="Q15" i="1"/>
  <c r="S15" i="1"/>
  <c r="U15" i="1"/>
  <c r="W15" i="1"/>
  <c r="Q16" i="1"/>
  <c r="S16" i="1"/>
  <c r="U16" i="1"/>
  <c r="W16" i="1"/>
  <c r="Q17" i="1"/>
  <c r="S17" i="1"/>
  <c r="U17" i="1"/>
  <c r="W17" i="1"/>
  <c r="Q18" i="1"/>
  <c r="S18" i="1"/>
  <c r="U18" i="1"/>
  <c r="W18" i="1"/>
  <c r="Q19" i="1"/>
  <c r="S19" i="1"/>
  <c r="U19" i="1"/>
  <c r="W19" i="1"/>
  <c r="Q20" i="1"/>
  <c r="S20" i="1"/>
  <c r="U20" i="1"/>
  <c r="W20" i="1"/>
  <c r="Q21" i="1"/>
  <c r="S21" i="1"/>
  <c r="U21" i="1"/>
  <c r="W21" i="1"/>
  <c r="Q22" i="1"/>
  <c r="S22" i="1"/>
  <c r="U22" i="1"/>
  <c r="W22" i="1"/>
  <c r="Q23" i="1"/>
  <c r="S23" i="1"/>
  <c r="U23" i="1"/>
  <c r="W23" i="1"/>
  <c r="Q24" i="1"/>
  <c r="S24" i="1"/>
  <c r="U24" i="1"/>
  <c r="W24" i="1"/>
  <c r="Q25" i="1"/>
  <c r="S25" i="1"/>
  <c r="U25" i="1"/>
  <c r="W25" i="1"/>
  <c r="Q26" i="1"/>
  <c r="S26" i="1"/>
  <c r="U26" i="1"/>
  <c r="W26" i="1"/>
  <c r="Q27" i="1"/>
  <c r="S27" i="1"/>
  <c r="U27" i="1"/>
  <c r="W27" i="1"/>
  <c r="Q28" i="1"/>
  <c r="S28" i="1"/>
  <c r="U28" i="1"/>
  <c r="W28" i="1"/>
  <c r="Q29" i="1"/>
  <c r="S29" i="1"/>
  <c r="U29" i="1"/>
  <c r="W29" i="1"/>
  <c r="Q30" i="1"/>
  <c r="S30" i="1"/>
  <c r="U30" i="1"/>
  <c r="W30" i="1"/>
  <c r="Q31" i="1"/>
  <c r="S31" i="1"/>
  <c r="U31" i="1"/>
  <c r="W31" i="1"/>
  <c r="W9" i="1"/>
  <c r="U9" i="1"/>
  <c r="S9" i="1"/>
  <c r="Q9" i="1"/>
  <c r="S8" i="12"/>
  <c r="I6" i="2" l="1"/>
  <c r="C6" i="2"/>
  <c r="Y32" i="1"/>
  <c r="G8" i="7"/>
  <c r="G9" i="3"/>
  <c r="I10" i="12"/>
  <c r="K10" i="12"/>
  <c r="M10" i="12"/>
  <c r="Q10" i="12"/>
  <c r="O10" i="12"/>
  <c r="A4" i="13"/>
  <c r="A2" i="13"/>
  <c r="Q26" i="7" l="1"/>
  <c r="G24" i="7"/>
  <c r="Q25" i="7"/>
  <c r="G25" i="7"/>
  <c r="Q24" i="7"/>
  <c r="G26" i="7"/>
  <c r="G16" i="7"/>
  <c r="G20" i="7"/>
  <c r="Q17" i="7"/>
  <c r="G15" i="7"/>
  <c r="G19" i="7"/>
  <c r="Q16" i="7"/>
  <c r="Q20" i="7"/>
  <c r="G18" i="7"/>
  <c r="Q15" i="7"/>
  <c r="Q19" i="7"/>
  <c r="G17" i="7"/>
  <c r="Q18" i="7"/>
  <c r="Q8" i="7"/>
  <c r="G22" i="7"/>
  <c r="G11" i="7"/>
  <c r="Q12" i="7"/>
  <c r="G14" i="7"/>
  <c r="G10" i="7"/>
  <c r="Q11" i="7"/>
  <c r="Q13" i="7"/>
  <c r="G13" i="7"/>
  <c r="Q10" i="7"/>
  <c r="Q14" i="7"/>
  <c r="G12" i="7"/>
  <c r="G32" i="7"/>
  <c r="Q32" i="7"/>
  <c r="G23" i="7"/>
  <c r="G31" i="7"/>
  <c r="Q31" i="7"/>
  <c r="Q27" i="7"/>
  <c r="G30" i="7"/>
  <c r="Q30" i="7"/>
  <c r="G28" i="7"/>
  <c r="G29" i="7"/>
  <c r="Q29" i="7"/>
  <c r="Q22" i="7"/>
  <c r="Q28" i="7"/>
  <c r="G21" i="7"/>
  <c r="Q21" i="7"/>
  <c r="G27" i="7"/>
  <c r="Q23" i="7"/>
  <c r="G9" i="7"/>
  <c r="Q9" i="7"/>
  <c r="S10" i="12"/>
  <c r="E25" i="13"/>
  <c r="G25" i="13"/>
  <c r="I25" i="13"/>
  <c r="Q25" i="13"/>
  <c r="C10" i="3"/>
  <c r="E10" i="3"/>
  <c r="M9" i="3"/>
  <c r="G9" i="8" s="1"/>
  <c r="M8" i="3"/>
  <c r="G8" i="8" s="1"/>
  <c r="C9" i="8"/>
  <c r="G8" i="3"/>
  <c r="C8" i="8" s="1"/>
  <c r="A4" i="12"/>
  <c r="A2" i="12"/>
  <c r="C24" i="7" l="1"/>
  <c r="M25" i="7"/>
  <c r="M24" i="7"/>
  <c r="C26" i="7"/>
  <c r="M26" i="7"/>
  <c r="C25" i="7"/>
  <c r="C15" i="7"/>
  <c r="C19" i="7"/>
  <c r="M16" i="7"/>
  <c r="C18" i="7"/>
  <c r="M15" i="7"/>
  <c r="M19" i="7"/>
  <c r="C17" i="7"/>
  <c r="M18" i="7"/>
  <c r="M20" i="7"/>
  <c r="C16" i="7"/>
  <c r="C20" i="7"/>
  <c r="M17" i="7"/>
  <c r="C10" i="7"/>
  <c r="M11" i="7"/>
  <c r="C13" i="7"/>
  <c r="M10" i="7"/>
  <c r="M14" i="7"/>
  <c r="C12" i="7"/>
  <c r="C14" i="7"/>
  <c r="M13" i="7"/>
  <c r="M12" i="7"/>
  <c r="C11" i="7"/>
  <c r="C27" i="7"/>
  <c r="M22" i="7"/>
  <c r="C28" i="7"/>
  <c r="M27" i="7"/>
  <c r="M23" i="7"/>
  <c r="C23" i="7"/>
  <c r="M28" i="7"/>
  <c r="C22" i="7"/>
  <c r="C8" i="7"/>
  <c r="M9" i="7"/>
  <c r="C9" i="7"/>
  <c r="M21" i="7"/>
  <c r="C21" i="7"/>
  <c r="M29" i="7"/>
  <c r="C29" i="7"/>
  <c r="M32" i="7"/>
  <c r="M30" i="7"/>
  <c r="C30" i="7"/>
  <c r="M31" i="7"/>
  <c r="C31" i="7"/>
  <c r="M8" i="7"/>
  <c r="C32" i="7"/>
  <c r="C10" i="8"/>
  <c r="C8" i="10" s="1"/>
  <c r="G33" i="7"/>
  <c r="G10" i="8"/>
  <c r="G10" i="3"/>
  <c r="I10" i="3"/>
  <c r="M10" i="3"/>
  <c r="K10" i="3"/>
  <c r="C10" i="2"/>
  <c r="E10" i="2"/>
  <c r="G10" i="2"/>
  <c r="K10" i="2"/>
  <c r="E32" i="1"/>
  <c r="G32" i="1"/>
  <c r="K32" i="1"/>
  <c r="O32" i="1"/>
  <c r="U32" i="1"/>
  <c r="W32" i="1"/>
  <c r="M33" i="7" l="1"/>
  <c r="E9" i="8"/>
  <c r="E8" i="8"/>
  <c r="I9" i="8"/>
  <c r="I9" i="2" l="1"/>
  <c r="A2" i="5"/>
  <c r="Q28" i="5" l="1"/>
  <c r="I28" i="5"/>
  <c r="I8" i="2"/>
  <c r="I10" i="2" s="1"/>
  <c r="A2" i="11"/>
  <c r="E9" i="11"/>
  <c r="C9" i="11"/>
  <c r="C9" i="10" s="1"/>
  <c r="G10" i="10" l="1"/>
  <c r="O28" i="5" l="1"/>
  <c r="M28" i="5"/>
  <c r="G28" i="5"/>
  <c r="E28" i="5"/>
  <c r="A4" i="5"/>
  <c r="A4" i="3"/>
  <c r="A4" i="8"/>
  <c r="A4" i="7"/>
  <c r="A4" i="10"/>
  <c r="A4" i="11" s="1"/>
  <c r="A4" i="2"/>
  <c r="A2" i="3"/>
  <c r="A2" i="8"/>
  <c r="A2" i="7"/>
  <c r="A2" i="10"/>
  <c r="A2" i="2"/>
  <c r="E24" i="7" l="1"/>
  <c r="I24" i="7" s="1"/>
  <c r="O25" i="7"/>
  <c r="S25" i="7" s="1"/>
  <c r="O26" i="7"/>
  <c r="S26" i="7" s="1"/>
  <c r="O24" i="7"/>
  <c r="S24" i="7" s="1"/>
  <c r="E26" i="7"/>
  <c r="I26" i="7" s="1"/>
  <c r="E25" i="7"/>
  <c r="I25" i="7" s="1"/>
  <c r="O17" i="7"/>
  <c r="S17" i="7" s="1"/>
  <c r="E15" i="7"/>
  <c r="I15" i="7" s="1"/>
  <c r="E19" i="7"/>
  <c r="I19" i="7" s="1"/>
  <c r="O16" i="7"/>
  <c r="S16" i="7" s="1"/>
  <c r="E18" i="7"/>
  <c r="I18" i="7" s="1"/>
  <c r="O15" i="7"/>
  <c r="S15" i="7" s="1"/>
  <c r="O19" i="7"/>
  <c r="S19" i="7" s="1"/>
  <c r="O20" i="7"/>
  <c r="S20" i="7" s="1"/>
  <c r="E17" i="7"/>
  <c r="I17" i="7" s="1"/>
  <c r="O18" i="7"/>
  <c r="S18" i="7" s="1"/>
  <c r="E16" i="7"/>
  <c r="I16" i="7" s="1"/>
  <c r="E20" i="7"/>
  <c r="I20" i="7" s="1"/>
  <c r="E10" i="7"/>
  <c r="I10" i="7" s="1"/>
  <c r="E11" i="7"/>
  <c r="I11" i="7" s="1"/>
  <c r="E14" i="7"/>
  <c r="I14" i="7" s="1"/>
  <c r="O12" i="7"/>
  <c r="S12" i="7" s="1"/>
  <c r="O11" i="7"/>
  <c r="S11" i="7" s="1"/>
  <c r="E13" i="7"/>
  <c r="I13" i="7" s="1"/>
  <c r="O10" i="7"/>
  <c r="S10" i="7" s="1"/>
  <c r="O14" i="7"/>
  <c r="S14" i="7" s="1"/>
  <c r="E12" i="7"/>
  <c r="I12" i="7" s="1"/>
  <c r="O13" i="7"/>
  <c r="S13" i="7" s="1"/>
  <c r="O23" i="7"/>
  <c r="S23" i="7" s="1"/>
  <c r="E27" i="7"/>
  <c r="I27" i="7" s="1"/>
  <c r="E22" i="7"/>
  <c r="I22" i="7" s="1"/>
  <c r="O22" i="7"/>
  <c r="S22" i="7" s="1"/>
  <c r="E28" i="7"/>
  <c r="I28" i="7" s="1"/>
  <c r="O27" i="7"/>
  <c r="S27" i="7" s="1"/>
  <c r="E23" i="7"/>
  <c r="I23" i="7" s="1"/>
  <c r="O28" i="7"/>
  <c r="S28" i="7" s="1"/>
  <c r="O9" i="7"/>
  <c r="S9" i="7" s="1"/>
  <c r="E9" i="7"/>
  <c r="I9" i="7" s="1"/>
  <c r="O21" i="7"/>
  <c r="S21" i="7" s="1"/>
  <c r="O29" i="7"/>
  <c r="S29" i="7" s="1"/>
  <c r="E29" i="7"/>
  <c r="I29" i="7" s="1"/>
  <c r="O30" i="7"/>
  <c r="S30" i="7" s="1"/>
  <c r="E30" i="7"/>
  <c r="I30" i="7" s="1"/>
  <c r="E31" i="7"/>
  <c r="I31" i="7" s="1"/>
  <c r="O31" i="7"/>
  <c r="S31" i="7" s="1"/>
  <c r="O32" i="7"/>
  <c r="S32" i="7" s="1"/>
  <c r="E32" i="7"/>
  <c r="I32" i="7" s="1"/>
  <c r="O8" i="7"/>
  <c r="S8" i="7" s="1"/>
  <c r="E8" i="7"/>
  <c r="I8" i="7" s="1"/>
  <c r="E21" i="7"/>
  <c r="I21" i="7" s="1"/>
  <c r="I8" i="8"/>
  <c r="I10" i="8" s="1"/>
  <c r="C33" i="7"/>
  <c r="I33" i="7" l="1"/>
  <c r="E10" i="8"/>
  <c r="E33" i="7"/>
  <c r="Q33" i="7"/>
  <c r="O33" i="7"/>
  <c r="K26" i="7" l="1"/>
  <c r="K24" i="7"/>
  <c r="K25" i="7"/>
  <c r="K18" i="7"/>
  <c r="K17" i="7"/>
  <c r="K20" i="7"/>
  <c r="K19" i="7"/>
  <c r="K15" i="7"/>
  <c r="K16" i="7"/>
  <c r="K27" i="7"/>
  <c r="K12" i="7"/>
  <c r="K11" i="7"/>
  <c r="K14" i="7"/>
  <c r="K10" i="7"/>
  <c r="K13" i="7"/>
  <c r="K23" i="7"/>
  <c r="K28" i="7"/>
  <c r="K22" i="7"/>
  <c r="C7" i="10"/>
  <c r="C10" i="10" s="1"/>
  <c r="K30" i="7"/>
  <c r="K9" i="7"/>
  <c r="K31" i="7"/>
  <c r="K29" i="7"/>
  <c r="K32" i="7"/>
  <c r="K8" i="7"/>
  <c r="K21" i="7"/>
  <c r="S33" i="7"/>
  <c r="U26" i="7" l="1"/>
  <c r="U24" i="7"/>
  <c r="U25" i="7"/>
  <c r="U17" i="7"/>
  <c r="U16" i="7"/>
  <c r="U20" i="7"/>
  <c r="U18" i="7"/>
  <c r="U19" i="7"/>
  <c r="U15" i="7"/>
  <c r="E8" i="10"/>
  <c r="E9" i="10"/>
  <c r="U27" i="7"/>
  <c r="U12" i="7"/>
  <c r="U14" i="7"/>
  <c r="U10" i="7"/>
  <c r="U13" i="7"/>
  <c r="U11" i="7"/>
  <c r="U23" i="7"/>
  <c r="U22" i="7"/>
  <c r="U28" i="7"/>
  <c r="U30" i="7"/>
  <c r="U32" i="7"/>
  <c r="E7" i="10"/>
  <c r="K33" i="7"/>
  <c r="U31" i="7"/>
  <c r="U29" i="7"/>
  <c r="U8" i="7"/>
  <c r="U21" i="7"/>
  <c r="U9" i="7"/>
  <c r="E10" i="10" l="1"/>
  <c r="U33" i="7"/>
</calcChain>
</file>

<file path=xl/sharedStrings.xml><?xml version="1.0" encoding="utf-8"?>
<sst xmlns="http://schemas.openxmlformats.org/spreadsheetml/2006/main" count="737" uniqueCount="87">
  <si>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</si>
  <si>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</si>
  <si>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</si>
  <si>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</si>
  <si>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</si>
  <si>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</si>
  <si>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</si>
  <si>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</si>
  <si>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</si>
  <si>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</si>
  <si>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</si>
  <si>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</si>
  <si>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</si>
  <si>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</si>
  <si>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</si>
  <si>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</si>
  <si>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</si>
  <si>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</si>
  <si>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</si>
  <si>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</si>
  <si>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</si>
  <si>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</si>
  <si>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</si>
  <si>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</si>
  <si>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</si>
  <si>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</si>
  <si>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</si>
  <si>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</si>
  <si>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</si>
  <si>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</si>
  <si>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</si>
  <si>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</si>
  <si>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</si>
  <si>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</si>
  <si>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</si>
  <si>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</si>
  <si>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</si>
  <si>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</si>
  <si>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</si>
  <si>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</si>
  <si>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</si>
  <si>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</si>
  <si>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</si>
  <si>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</si>
  <si>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</si>
  <si>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</si>
  <si>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</si>
  <si>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</si>
  <si>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</si>
  <si>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توسعه معادن وفلزات</t>
  </si>
  <si>
    <t>توسعه معدنی و صنعتی صبانور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</si>
  <si>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</si>
  <si>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</si>
  <si>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</si>
  <si>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</si>
  <si>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</si>
  <si>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</si>
  <si>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</si>
  <si>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</si>
  <si>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سود و زیان ناشی از فروش</t>
  </si>
  <si>
    <t xml:space="preserve"> </t>
  </si>
  <si>
    <t>بین المللی توسعه ص. معادن غدیر</t>
  </si>
  <si>
    <t>سرمایه گذاری تامین اجتماعی</t>
  </si>
  <si>
    <t>سرمایه گذاری سیمان تامین</t>
  </si>
  <si>
    <t>سرمایه‌گذاری‌غدیر(هلدینگ‌</t>
  </si>
  <si>
    <t>گروه مالی صبا تامین</t>
  </si>
  <si>
    <t>پتروشیمی زاگرس</t>
  </si>
  <si>
    <t>پتروشیمی شیراز</t>
  </si>
  <si>
    <t>س. و توسعه صنایع لاستیک</t>
  </si>
  <si>
    <t>صنایع پتروشیمی کرمانشاه</t>
  </si>
  <si>
    <t>زغال سنگ پروده طبس</t>
  </si>
  <si>
    <t>گروه مالی مهرگان تامین پارس</t>
  </si>
  <si>
    <t>نیان باتری خاوران</t>
  </si>
  <si>
    <t>هامون نایزه</t>
  </si>
  <si>
    <t>کیمیا کالای رازی</t>
  </si>
  <si>
    <t xml:space="preserve"> تا پایان ماه</t>
  </si>
  <si>
    <t>از ابتدای سال مالی</t>
  </si>
  <si>
    <t>سایر درآمد ها</t>
  </si>
  <si>
    <t>1404/10/30</t>
  </si>
  <si>
    <t>پتروشیمی اروند</t>
  </si>
  <si>
    <t>گروه مالی نماد غدیر(سهامی عام)</t>
  </si>
  <si>
    <t>مجتمع کاشی و سنگ پرسپولیس یزد</t>
  </si>
  <si>
    <t>برای ماه منتهی به 1404/11/30</t>
  </si>
  <si>
    <t>1404/11/30</t>
  </si>
  <si>
    <t>تکادو</t>
  </si>
  <si>
    <t>-</t>
  </si>
  <si>
    <t>آلیاژ گستر هامون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</si>
</sst>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b/>
      <sz val="16"/>
      <name val="B Nazanin"/>
      <charset val="178"/>
    </font>
    <font>
      <sz val="10"/>
      <name val="IRANSans"/>
      <family val="2"/>
      <charset val="178"/>
    </font>
    <font>
      <b/>
      <sz val="10"/>
      <name val="IRANSans"/>
      <family val="2"/>
      <charset val="178"/>
    </font>
    <font>
      <b/>
      <sz val="12"/>
      <name val="B Titr"/>
      <charset val="178"/>
    </font>
    <font>
      <sz val="10"/>
      <color rgb="FF000000"/>
      <name val="IRANSans"/>
      <family val="2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5" fillId="0" borderId="0"/>
  </cellStyleXfs>
  <cellXfs count="64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3" fontId="6" fillId="0" borderId="0" xfId="2" applyNumberFormat="1" applyFont="1" applyFill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7" fillId="0" borderId="2" xfId="5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9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right" vertical="center"/>
    </xf>
    <xf numFmtId="164" fontId="4" fillId="0" borderId="0" xfId="2" applyNumberFormat="1" applyFont="1" applyFill="1" applyAlignment="1">
      <alignment horizontal="center"/>
    </xf>
    <xf numFmtId="164" fontId="7" fillId="0" borderId="2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6" fillId="0" borderId="0" xfId="2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1" fillId="0" borderId="0" xfId="0" applyNumberFormat="1" applyFont="1"/>
    <xf numFmtId="164" fontId="10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64" fontId="7" fillId="0" borderId="1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0" fontId="6" fillId="0" borderId="0" xfId="1" applyNumberFormat="1" applyFont="1" applyFill="1" applyAlignment="1">
      <alignment horizontal="center" vertical="center"/>
    </xf>
    <xf numFmtId="10" fontId="7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3" fontId="14" fillId="0" borderId="0" xfId="0" applyNumberFormat="1" applyFont="1"/>
    <xf numFmtId="164" fontId="2" fillId="0" borderId="0" xfId="4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13" fillId="0" borderId="0" xfId="2" applyNumberFormat="1" applyFont="1" applyFill="1" applyAlignment="1">
      <alignment horizontal="right" vertical="center" readingOrder="2"/>
    </xf>
    <xf numFmtId="164" fontId="7" fillId="0" borderId="1" xfId="2" applyNumberFormat="1" applyFont="1" applyFill="1" applyBorder="1" applyAlignment="1">
      <alignment horizontal="center" vertical="center"/>
    </xf>
    <xf numFmtId="164" fontId="10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3" fontId="15" fillId="0" borderId="0" xfId="0" applyNumberFormat="1" applyFont="1"/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pirzadeh/Downloads/Export%20-%202026-02-23T213932.87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1">
          <cell r="A1" t="str">
            <v>سهام</v>
          </cell>
          <cell r="B1" t="str">
            <v>مانده</v>
          </cell>
          <cell r="C1" t="str">
            <v>خالص ارزش فروش</v>
          </cell>
          <cell r="D1" t="str">
            <v>قیمت مانده کل</v>
          </cell>
          <cell r="E1" t="str">
            <v>قیمت روز</v>
          </cell>
        </row>
        <row r="2">
          <cell r="A2" t="str">
            <v>بین المللی توسعه ص. معادن غدیر</v>
          </cell>
          <cell r="B2">
            <v>75390988</v>
          </cell>
          <cell r="C2">
            <v>211707250325.61099</v>
          </cell>
          <cell r="D2">
            <v>245299835419</v>
          </cell>
          <cell r="E2">
            <v>2830</v>
          </cell>
        </row>
        <row r="3">
          <cell r="A3" t="str">
            <v>پتروشیمی زاگرس</v>
          </cell>
          <cell r="B3">
            <v>100000</v>
          </cell>
          <cell r="C3">
            <v>11098539950</v>
          </cell>
          <cell r="D3">
            <v>11910805182</v>
          </cell>
          <cell r="E3">
            <v>111850</v>
          </cell>
        </row>
        <row r="4">
          <cell r="A4" t="str">
            <v>پتروشیمی شیراز</v>
          </cell>
          <cell r="B4">
            <v>855000</v>
          </cell>
          <cell r="C4">
            <v>51191903889</v>
          </cell>
          <cell r="D4">
            <v>33645519049</v>
          </cell>
          <cell r="E4">
            <v>60340</v>
          </cell>
        </row>
        <row r="5">
          <cell r="A5" t="str">
            <v>توسعه معادن وفلزات</v>
          </cell>
          <cell r="B5">
            <v>540000000</v>
          </cell>
          <cell r="C5">
            <v>1152561295800</v>
          </cell>
          <cell r="D5">
            <v>1284720694144</v>
          </cell>
          <cell r="E5">
            <v>2151</v>
          </cell>
        </row>
        <row r="6">
          <cell r="A6" t="str">
            <v>توسعه معدنی و صنعتی صبانور</v>
          </cell>
          <cell r="B6">
            <v>75649236</v>
          </cell>
          <cell r="C6">
            <v>229472076859.28601</v>
          </cell>
          <cell r="D6">
            <v>309443218844</v>
          </cell>
          <cell r="E6">
            <v>3057</v>
          </cell>
        </row>
        <row r="7">
          <cell r="A7" t="str">
            <v>تکادو</v>
          </cell>
          <cell r="B7">
            <v>2000000</v>
          </cell>
          <cell r="C7">
            <v>4266761000</v>
          </cell>
          <cell r="D7">
            <v>4443360508</v>
          </cell>
          <cell r="E7">
            <v>2150</v>
          </cell>
        </row>
        <row r="8">
          <cell r="A8" t="str">
            <v>زغال سنگ پروده طبس</v>
          </cell>
          <cell r="B8">
            <v>5000000</v>
          </cell>
          <cell r="C8">
            <v>18257768000</v>
          </cell>
          <cell r="D8">
            <v>20180506279</v>
          </cell>
          <cell r="E8">
            <v>3680</v>
          </cell>
        </row>
        <row r="9">
          <cell r="A9" t="str">
            <v>س. و توسعه صنایع لاستیک</v>
          </cell>
          <cell r="B9">
            <v>562499</v>
          </cell>
          <cell r="C9">
            <v>4906146259.1967001</v>
          </cell>
          <cell r="D9">
            <v>5010786764</v>
          </cell>
          <cell r="E9">
            <v>8790</v>
          </cell>
        </row>
        <row r="10">
          <cell r="A10" t="str">
            <v>سرمایه گذاری تامین اجتماعی</v>
          </cell>
          <cell r="B10">
            <v>45800544</v>
          </cell>
          <cell r="C10">
            <v>74850395044.167404</v>
          </cell>
          <cell r="D10">
            <v>69166679294</v>
          </cell>
          <cell r="E10">
            <v>1647</v>
          </cell>
        </row>
        <row r="11">
          <cell r="A11" t="str">
            <v>سرمایه گذاری صدرتامین</v>
          </cell>
          <cell r="B11">
            <v>50600000</v>
          </cell>
          <cell r="C11">
            <v>675309193900</v>
          </cell>
          <cell r="D11">
            <v>678236297287</v>
          </cell>
          <cell r="E11">
            <v>13450</v>
          </cell>
        </row>
        <row r="12">
          <cell r="A12" t="str">
            <v>سرمایه‌گذاری‌غدیر(هلدینگ‌</v>
          </cell>
          <cell r="B12">
            <v>13300000</v>
          </cell>
          <cell r="C12">
            <v>197957865000</v>
          </cell>
          <cell r="D12">
            <v>129582340594</v>
          </cell>
          <cell r="E12">
            <v>15000</v>
          </cell>
        </row>
        <row r="13">
          <cell r="A13" t="str">
            <v>سنگ آهن گهرزمین</v>
          </cell>
          <cell r="B13">
            <v>25969253</v>
          </cell>
          <cell r="C13">
            <v>179091149186.45401</v>
          </cell>
          <cell r="D13">
            <v>196482383928</v>
          </cell>
          <cell r="E13">
            <v>6950</v>
          </cell>
        </row>
        <row r="14">
          <cell r="A14" t="str">
            <v>صنایع پتروشیمی کرمانشاه</v>
          </cell>
          <cell r="B14">
            <v>2375000</v>
          </cell>
          <cell r="C14">
            <v>83566498725</v>
          </cell>
          <cell r="D14">
            <v>60831699396</v>
          </cell>
          <cell r="E14">
            <v>35460</v>
          </cell>
        </row>
        <row r="15">
          <cell r="A15" t="str">
            <v>گروه مالی صبا تامین</v>
          </cell>
          <cell r="B15">
            <v>52200000</v>
          </cell>
          <cell r="C15">
            <v>190507504932</v>
          </cell>
          <cell r="D15">
            <v>169675850631</v>
          </cell>
          <cell r="E15">
            <v>3678</v>
          </cell>
        </row>
        <row r="16">
          <cell r="A16" t="str">
            <v>گروه مالی مهرگان تامین پارس</v>
          </cell>
          <cell r="B16">
            <v>3400000</v>
          </cell>
          <cell r="C16">
            <v>28440442740</v>
          </cell>
          <cell r="D16">
            <v>27972320158</v>
          </cell>
          <cell r="E16">
            <v>8430</v>
          </cell>
        </row>
        <row r="17">
          <cell r="A17" t="str">
            <v>گروه مالی نماد غدیر(سهامی عام)</v>
          </cell>
          <cell r="B17">
            <v>10000000</v>
          </cell>
          <cell r="C17">
            <v>28875057000</v>
          </cell>
          <cell r="D17">
            <v>31479636203</v>
          </cell>
          <cell r="E17">
            <v>2910</v>
          </cell>
        </row>
        <row r="18">
          <cell r="A18" t="str">
            <v>مجتمع کاشی و سنگ پرسپولیس یزد</v>
          </cell>
          <cell r="B18">
            <v>1256499</v>
          </cell>
          <cell r="C18">
            <v>8166450020.8815002</v>
          </cell>
          <cell r="D18">
            <v>8065015536</v>
          </cell>
          <cell r="E18">
            <v>6550</v>
          </cell>
        </row>
        <row r="19">
          <cell r="A19" t="str">
            <v>معدنی و صنعتی گل گهر</v>
          </cell>
          <cell r="B19">
            <v>262629550</v>
          </cell>
          <cell r="C19">
            <v>539962005654.65198</v>
          </cell>
          <cell r="D19">
            <v>540598743190</v>
          </cell>
          <cell r="E19">
            <v>2072</v>
          </cell>
        </row>
        <row r="20">
          <cell r="A20" t="str">
            <v>معدنی وصنعتی چادرملو</v>
          </cell>
          <cell r="B20">
            <v>187340000</v>
          </cell>
          <cell r="C20">
            <v>467703924288.79999</v>
          </cell>
          <cell r="D20">
            <v>510207274926</v>
          </cell>
          <cell r="E20">
            <v>2516</v>
          </cell>
        </row>
        <row r="21">
          <cell r="A21" t="str">
            <v>هامون نایزه</v>
          </cell>
          <cell r="B21">
            <v>2457000</v>
          </cell>
          <cell r="C21">
            <v>18797036976.900002</v>
          </cell>
          <cell r="D21">
            <v>21210703207</v>
          </cell>
          <cell r="E21">
            <v>7710</v>
          </cell>
        </row>
        <row r="22">
          <cell r="A22" t="str">
            <v>مجموع</v>
          </cell>
          <cell r="B22">
            <v>1356885569</v>
          </cell>
          <cell r="C22">
            <v>4176689265551.9502</v>
          </cell>
          <cell r="D22">
            <v>4358163670539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33"/>
  <sheetViews>
    <sheetView rightToLeft="1" zoomScale="70" zoomScaleNormal="70" workbookViewId="0">
      <selection activeCell="A2" sqref="A2:Y2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0.87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49" t="s">
        <v>45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  <c r="T2" s="49" t="s">
        <v>0</v>
      </c>
      <c r="U2" s="49" t="s">
        <v>0</v>
      </c>
      <c r="V2" s="49" t="s">
        <v>0</v>
      </c>
      <c r="W2" s="49" t="s">
        <v>0</v>
      </c>
      <c r="X2" s="49" t="s">
        <v>0</v>
      </c>
      <c r="Y2" s="49" t="s">
        <v>0</v>
      </c>
    </row>
    <row r="3" spans="1:25" ht="26.25" x14ac:dyDescent="0.2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  <c r="L3" s="49" t="s">
        <v>1</v>
      </c>
      <c r="M3" s="49" t="s">
        <v>1</v>
      </c>
      <c r="N3" s="49" t="s">
        <v>1</v>
      </c>
      <c r="O3" s="49" t="s">
        <v>1</v>
      </c>
      <c r="P3" s="49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 t="s">
        <v>1</v>
      </c>
      <c r="X3" s="49" t="s">
        <v>1</v>
      </c>
      <c r="Y3" s="49" t="s">
        <v>1</v>
      </c>
    </row>
    <row r="4" spans="1:25" ht="26.25" x14ac:dyDescent="0.2">
      <c r="A4" s="49" t="s">
        <v>82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  <c r="V4" s="49" t="s">
        <v>2</v>
      </c>
      <c r="W4" s="49" t="s">
        <v>2</v>
      </c>
      <c r="X4" s="49" t="s">
        <v>2</v>
      </c>
      <c r="Y4" s="49" t="s">
        <v>2</v>
      </c>
    </row>
    <row r="6" spans="1:25" ht="27" thickBot="1" x14ac:dyDescent="0.25">
      <c r="A6" s="50" t="s">
        <v>3</v>
      </c>
      <c r="C6" s="50" t="s">
        <v>78</v>
      </c>
      <c r="D6" s="50" t="s">
        <v>4</v>
      </c>
      <c r="E6" s="50" t="s">
        <v>4</v>
      </c>
      <c r="F6" s="50" t="s">
        <v>4</v>
      </c>
      <c r="G6" s="50" t="s">
        <v>4</v>
      </c>
      <c r="I6" s="50" t="s">
        <v>5</v>
      </c>
      <c r="J6" s="50" t="s">
        <v>5</v>
      </c>
      <c r="K6" s="50" t="s">
        <v>5</v>
      </c>
      <c r="L6" s="50" t="s">
        <v>5</v>
      </c>
      <c r="M6" s="50" t="s">
        <v>5</v>
      </c>
      <c r="N6" s="50" t="s">
        <v>5</v>
      </c>
      <c r="O6" s="50" t="s">
        <v>5</v>
      </c>
      <c r="Q6" s="50" t="s">
        <v>83</v>
      </c>
      <c r="R6" s="50" t="s">
        <v>6</v>
      </c>
      <c r="S6" s="50" t="s">
        <v>6</v>
      </c>
      <c r="T6" s="50" t="s">
        <v>6</v>
      </c>
      <c r="U6" s="50" t="s">
        <v>6</v>
      </c>
      <c r="V6" s="50" t="s">
        <v>6</v>
      </c>
      <c r="W6" s="50" t="s">
        <v>6</v>
      </c>
      <c r="X6" s="50" t="s">
        <v>6</v>
      </c>
      <c r="Y6" s="50" t="s">
        <v>6</v>
      </c>
    </row>
    <row r="7" spans="1:25" ht="27" thickBot="1" x14ac:dyDescent="0.25">
      <c r="A7" s="50" t="s">
        <v>3</v>
      </c>
      <c r="C7" s="50" t="s">
        <v>7</v>
      </c>
      <c r="E7" s="50" t="s">
        <v>8</v>
      </c>
      <c r="G7" s="50" t="s">
        <v>9</v>
      </c>
      <c r="I7" s="50" t="s">
        <v>10</v>
      </c>
      <c r="J7" s="50" t="s">
        <v>10</v>
      </c>
      <c r="K7" s="50" t="s">
        <v>10</v>
      </c>
      <c r="M7" s="50" t="s">
        <v>11</v>
      </c>
      <c r="N7" s="50" t="s">
        <v>11</v>
      </c>
      <c r="O7" s="50" t="s">
        <v>11</v>
      </c>
      <c r="Q7" s="50" t="s">
        <v>7</v>
      </c>
      <c r="S7" s="50" t="s">
        <v>12</v>
      </c>
      <c r="U7" s="50" t="s">
        <v>8</v>
      </c>
      <c r="W7" s="50" t="s">
        <v>9</v>
      </c>
      <c r="Y7" s="50" t="s">
        <v>13</v>
      </c>
    </row>
    <row r="8" spans="1:25" ht="27" thickBot="1" x14ac:dyDescent="0.25">
      <c r="A8" s="50" t="s">
        <v>3</v>
      </c>
      <c r="C8" s="50" t="s">
        <v>7</v>
      </c>
      <c r="E8" s="50" t="s">
        <v>8</v>
      </c>
      <c r="G8" s="50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50" t="s">
        <v>7</v>
      </c>
      <c r="S8" s="50" t="s">
        <v>12</v>
      </c>
      <c r="U8" s="50" t="s">
        <v>8</v>
      </c>
      <c r="W8" s="50" t="s">
        <v>9</v>
      </c>
      <c r="Y8" s="50" t="s">
        <v>13</v>
      </c>
    </row>
    <row r="9" spans="1:25" ht="21" x14ac:dyDescent="0.2">
      <c r="A9" s="20" t="s">
        <v>46</v>
      </c>
      <c r="C9" s="4">
        <v>51000000</v>
      </c>
      <c r="E9" s="4">
        <v>683597849045</v>
      </c>
      <c r="G9" s="4">
        <v>828922512600</v>
      </c>
      <c r="I9" s="4">
        <v>0</v>
      </c>
      <c r="K9" s="4">
        <v>0</v>
      </c>
      <c r="M9" s="4">
        <v>-400000</v>
      </c>
      <c r="O9" s="4">
        <v>5524959402</v>
      </c>
      <c r="Q9" s="4">
        <f>IFERROR(VLOOKUP(A9,'[1]Page 1'!$A:$E,2,0),0)</f>
        <v>50600000</v>
      </c>
      <c r="S9" s="4">
        <f>IFERROR(VLOOKUP(A9,'[1]Page 1'!$A:$E,5,0),0)</f>
        <v>13450</v>
      </c>
      <c r="U9" s="4">
        <f>IFERROR(VLOOKUP(A9,'[1]Page 1'!$A:$E,4,0),0)</f>
        <v>678236297287</v>
      </c>
      <c r="W9" s="4">
        <f>IFERROR(VLOOKUP(A9,'[1]Page 1'!$A:$E,3,0),0)</f>
        <v>675309193900</v>
      </c>
      <c r="Y9" s="1">
        <v>0.15982642723776921</v>
      </c>
    </row>
    <row r="10" spans="1:25" ht="21" x14ac:dyDescent="0.2">
      <c r="A10" s="20" t="s">
        <v>48</v>
      </c>
      <c r="C10" s="4">
        <v>33951925</v>
      </c>
      <c r="E10" s="4">
        <v>256878977717</v>
      </c>
      <c r="G10" s="4">
        <v>295119815189.01001</v>
      </c>
      <c r="I10" s="4">
        <v>0</v>
      </c>
      <c r="K10" s="4">
        <v>0</v>
      </c>
      <c r="M10" s="4">
        <v>-7982672</v>
      </c>
      <c r="O10" s="4">
        <v>63195610172</v>
      </c>
      <c r="Q10" s="4">
        <f>IFERROR(VLOOKUP(A10,'[1]Page 1'!$A:$E,2,0),0)</f>
        <v>25969253</v>
      </c>
      <c r="S10" s="4">
        <f>IFERROR(VLOOKUP(A10,'[1]Page 1'!$A:$E,5,0),0)</f>
        <v>6950</v>
      </c>
      <c r="U10" s="4">
        <f>IFERROR(VLOOKUP(A10,'[1]Page 1'!$A:$E,4,0),0)</f>
        <v>196482383928</v>
      </c>
      <c r="W10" s="4">
        <f>IFERROR(VLOOKUP(A10,'[1]Page 1'!$A:$E,3,0),0)</f>
        <v>179091149186.45401</v>
      </c>
      <c r="Y10" s="1">
        <v>4.2385767560889805E-2</v>
      </c>
    </row>
    <row r="11" spans="1:25" ht="21" x14ac:dyDescent="0.2">
      <c r="A11" s="20" t="s">
        <v>49</v>
      </c>
      <c r="C11" s="4">
        <v>540000000</v>
      </c>
      <c r="E11" s="4">
        <v>1284720694144</v>
      </c>
      <c r="G11" s="4">
        <v>1602654967800</v>
      </c>
      <c r="I11" s="4">
        <v>0</v>
      </c>
      <c r="K11" s="4">
        <v>0</v>
      </c>
      <c r="M11" s="4">
        <v>0</v>
      </c>
      <c r="O11" s="4">
        <v>0</v>
      </c>
      <c r="Q11" s="4">
        <f>IFERROR(VLOOKUP(A11,'[1]Page 1'!$A:$E,2,0),0)</f>
        <v>540000000</v>
      </c>
      <c r="S11" s="4">
        <f>IFERROR(VLOOKUP(A11,'[1]Page 1'!$A:$E,5,0),0)</f>
        <v>2151</v>
      </c>
      <c r="U11" s="4">
        <f>IFERROR(VLOOKUP(A11,'[1]Page 1'!$A:$E,4,0),0)</f>
        <v>1284720694144</v>
      </c>
      <c r="W11" s="4">
        <f>IFERROR(VLOOKUP(A11,'[1]Page 1'!$A:$E,3,0),0)</f>
        <v>1152561295800</v>
      </c>
      <c r="Y11" s="1">
        <v>0.27277838913522262</v>
      </c>
    </row>
    <row r="12" spans="1:25" ht="21" x14ac:dyDescent="0.2">
      <c r="A12" s="20" t="s">
        <v>61</v>
      </c>
      <c r="C12" s="4">
        <v>79358935</v>
      </c>
      <c r="E12" s="4">
        <v>258210353932</v>
      </c>
      <c r="G12" s="4">
        <v>277892835736.11603</v>
      </c>
      <c r="I12" s="4">
        <v>0</v>
      </c>
      <c r="K12" s="4">
        <v>0</v>
      </c>
      <c r="M12" s="4">
        <v>-3967947</v>
      </c>
      <c r="O12" s="4">
        <v>11786996161</v>
      </c>
      <c r="Q12" s="4">
        <f>IFERROR(VLOOKUP(A12,'[1]Page 1'!$A:$E,2,0),0)</f>
        <v>75390988</v>
      </c>
      <c r="S12" s="4">
        <f>IFERROR(VLOOKUP(A12,'[1]Page 1'!$A:$E,5,0),0)</f>
        <v>2830</v>
      </c>
      <c r="U12" s="4">
        <f>IFERROR(VLOOKUP(A12,'[1]Page 1'!$A:$E,4,0),0)</f>
        <v>245299835419</v>
      </c>
      <c r="W12" s="4">
        <f>IFERROR(VLOOKUP(A12,'[1]Page 1'!$A:$E,3,0),0)</f>
        <v>211707250325.61099</v>
      </c>
      <c r="Y12" s="1">
        <v>5.0105068530852795E-2</v>
      </c>
    </row>
    <row r="13" spans="1:25" ht="21" x14ac:dyDescent="0.2">
      <c r="A13" s="20" t="s">
        <v>62</v>
      </c>
      <c r="C13" s="4">
        <v>48211099</v>
      </c>
      <c r="E13" s="4">
        <v>72807030914</v>
      </c>
      <c r="G13" s="4">
        <v>91084365397.805893</v>
      </c>
      <c r="I13" s="4">
        <v>0</v>
      </c>
      <c r="K13" s="4">
        <v>0</v>
      </c>
      <c r="M13" s="4">
        <v>-2410555</v>
      </c>
      <c r="O13" s="4">
        <v>3989724959</v>
      </c>
      <c r="Q13" s="4">
        <f>IFERROR(VLOOKUP(A13,'[1]Page 1'!$A:$E,2,0),0)</f>
        <v>45800544</v>
      </c>
      <c r="S13" s="4">
        <f>IFERROR(VLOOKUP(A13,'[1]Page 1'!$A:$E,5,0),0)</f>
        <v>1647</v>
      </c>
      <c r="U13" s="4">
        <f>IFERROR(VLOOKUP(A13,'[1]Page 1'!$A:$E,4,0),0)</f>
        <v>69166679294</v>
      </c>
      <c r="W13" s="4">
        <f>IFERROR(VLOOKUP(A13,'[1]Page 1'!$A:$E,3,0),0)</f>
        <v>74850395044.167404</v>
      </c>
      <c r="Y13" s="1">
        <v>1.7714953868992338E-2</v>
      </c>
    </row>
    <row r="14" spans="1:25" ht="21" x14ac:dyDescent="0.2">
      <c r="A14" s="20" t="s">
        <v>63</v>
      </c>
      <c r="C14" s="4">
        <v>4500000</v>
      </c>
      <c r="E14" s="4">
        <v>68041142322</v>
      </c>
      <c r="G14" s="4">
        <v>80507826450</v>
      </c>
      <c r="I14" s="4">
        <v>0</v>
      </c>
      <c r="K14" s="4">
        <v>0</v>
      </c>
      <c r="M14" s="4">
        <v>-4500000</v>
      </c>
      <c r="O14" s="4">
        <v>75286028610</v>
      </c>
      <c r="Q14" s="4">
        <f>IFERROR(VLOOKUP(A14,'[1]Page 1'!$A:$E,2,0),0)</f>
        <v>0</v>
      </c>
      <c r="S14" s="4">
        <f>IFERROR(VLOOKUP(A14,'[1]Page 1'!$A:$E,5,0),0)</f>
        <v>0</v>
      </c>
      <c r="U14" s="4">
        <f>IFERROR(VLOOKUP(A14,'[1]Page 1'!$A:$E,4,0),0)</f>
        <v>0</v>
      </c>
      <c r="W14" s="4">
        <f>IFERROR(VLOOKUP(A14,'[1]Page 1'!$A:$E,3,0),0)</f>
        <v>0</v>
      </c>
      <c r="Y14" s="1">
        <v>0</v>
      </c>
    </row>
    <row r="15" spans="1:25" ht="21" x14ac:dyDescent="0.2">
      <c r="A15" s="20" t="s">
        <v>64</v>
      </c>
      <c r="C15" s="4">
        <v>14000000</v>
      </c>
      <c r="E15" s="4">
        <v>136402463782</v>
      </c>
      <c r="G15" s="4">
        <v>228658698800</v>
      </c>
      <c r="I15" s="4">
        <v>0</v>
      </c>
      <c r="K15" s="4">
        <v>0</v>
      </c>
      <c r="M15" s="4">
        <v>-700000</v>
      </c>
      <c r="O15" s="4">
        <v>10057648774</v>
      </c>
      <c r="Q15" s="4">
        <f>IFERROR(VLOOKUP(A15,'[1]Page 1'!$A:$E,2,0),0)</f>
        <v>13300000</v>
      </c>
      <c r="S15" s="4">
        <f>IFERROR(VLOOKUP(A15,'[1]Page 1'!$A:$E,5,0),0)</f>
        <v>15000</v>
      </c>
      <c r="U15" s="4">
        <f>IFERROR(VLOOKUP(A15,'[1]Page 1'!$A:$E,4,0),0)</f>
        <v>129582340594</v>
      </c>
      <c r="W15" s="4">
        <f>IFERROR(VLOOKUP(A15,'[1]Page 1'!$A:$E,3,0),0)</f>
        <v>197957865000</v>
      </c>
      <c r="Y15" s="1">
        <v>4.6850981139243512E-2</v>
      </c>
    </row>
    <row r="16" spans="1:25" ht="21" x14ac:dyDescent="0.2">
      <c r="A16" s="20" t="s">
        <v>65</v>
      </c>
      <c r="C16" s="4">
        <v>47000000</v>
      </c>
      <c r="E16" s="4">
        <v>149497576203</v>
      </c>
      <c r="G16" s="4">
        <v>206600536700</v>
      </c>
      <c r="I16" s="4">
        <v>5200000</v>
      </c>
      <c r="K16" s="4">
        <v>20178274428</v>
      </c>
      <c r="M16" s="4">
        <v>0</v>
      </c>
      <c r="O16" s="4">
        <v>0</v>
      </c>
      <c r="Q16" s="4">
        <f>IFERROR(VLOOKUP(A16,'[1]Page 1'!$A:$E,2,0),0)</f>
        <v>52200000</v>
      </c>
      <c r="S16" s="4">
        <f>IFERROR(VLOOKUP(A16,'[1]Page 1'!$A:$E,5,0),0)</f>
        <v>3678</v>
      </c>
      <c r="U16" s="4">
        <f>IFERROR(VLOOKUP(A16,'[1]Page 1'!$A:$E,4,0),0)</f>
        <v>169675850631</v>
      </c>
      <c r="W16" s="4">
        <f>IFERROR(VLOOKUP(A16,'[1]Page 1'!$A:$E,3,0),0)</f>
        <v>190507504932</v>
      </c>
      <c r="Y16" s="1">
        <v>4.5087693385930751E-2</v>
      </c>
    </row>
    <row r="17" spans="1:25" ht="21" x14ac:dyDescent="0.2">
      <c r="A17" s="20" t="s">
        <v>50</v>
      </c>
      <c r="C17" s="4">
        <v>108293293</v>
      </c>
      <c r="E17" s="4">
        <v>442973742200</v>
      </c>
      <c r="G17" s="4">
        <v>390280866989.44</v>
      </c>
      <c r="I17" s="4">
        <v>0</v>
      </c>
      <c r="K17" s="4">
        <v>0</v>
      </c>
      <c r="M17" s="4">
        <v>-32644057</v>
      </c>
      <c r="O17" s="4">
        <v>107163257911</v>
      </c>
      <c r="Q17" s="4">
        <f>IFERROR(VLOOKUP(A17,'[1]Page 1'!$A:$E,2,0),0)</f>
        <v>75649236</v>
      </c>
      <c r="S17" s="4">
        <f>IFERROR(VLOOKUP(A17,'[1]Page 1'!$A:$E,5,0),0)</f>
        <v>3057</v>
      </c>
      <c r="U17" s="4">
        <f>IFERROR(VLOOKUP(A17,'[1]Page 1'!$A:$E,4,0),0)</f>
        <v>309443218844</v>
      </c>
      <c r="W17" s="4">
        <f>IFERROR(VLOOKUP(A17,'[1]Page 1'!$A:$E,3,0),0)</f>
        <v>229472076859.28601</v>
      </c>
      <c r="Y17" s="1">
        <v>5.4309496341140309E-2</v>
      </c>
    </row>
    <row r="18" spans="1:25" ht="21" x14ac:dyDescent="0.2">
      <c r="A18" s="20" t="s">
        <v>79</v>
      </c>
      <c r="C18" s="4">
        <v>200000</v>
      </c>
      <c r="E18" s="4">
        <v>8336148496</v>
      </c>
      <c r="G18" s="4">
        <v>12589921760</v>
      </c>
      <c r="I18" s="4">
        <v>0</v>
      </c>
      <c r="K18" s="4">
        <v>0</v>
      </c>
      <c r="M18" s="4">
        <v>-200000</v>
      </c>
      <c r="O18" s="4">
        <v>11486517528</v>
      </c>
      <c r="Q18" s="4">
        <f>IFERROR(VLOOKUP(A18,'[1]Page 1'!$A:$E,2,0),0)</f>
        <v>0</v>
      </c>
      <c r="S18" s="4">
        <f>IFERROR(VLOOKUP(A18,'[1]Page 1'!$A:$E,5,0),0)</f>
        <v>0</v>
      </c>
      <c r="U18" s="4">
        <f>IFERROR(VLOOKUP(A18,'[1]Page 1'!$A:$E,4,0),0)</f>
        <v>0</v>
      </c>
      <c r="W18" s="4">
        <f>IFERROR(VLOOKUP(A18,'[1]Page 1'!$A:$E,3,0),0)</f>
        <v>0</v>
      </c>
      <c r="Y18" s="1">
        <v>0</v>
      </c>
    </row>
    <row r="19" spans="1:25" ht="21" x14ac:dyDescent="0.2">
      <c r="A19" s="20" t="s">
        <v>80</v>
      </c>
      <c r="C19" s="4">
        <v>4000000</v>
      </c>
      <c r="E19" s="4">
        <v>13311366894</v>
      </c>
      <c r="G19" s="4">
        <v>15197607320</v>
      </c>
      <c r="I19" s="4">
        <v>6000000</v>
      </c>
      <c r="K19" s="4">
        <v>18168269309</v>
      </c>
      <c r="M19" s="4">
        <v>0</v>
      </c>
      <c r="O19" s="4">
        <v>0</v>
      </c>
      <c r="Q19" s="4">
        <f>IFERROR(VLOOKUP(A19,'[1]Page 1'!$A:$E,2,0),0)</f>
        <v>10000000</v>
      </c>
      <c r="S19" s="4">
        <f>IFERROR(VLOOKUP(A19,'[1]Page 1'!$A:$E,5,0),0)</f>
        <v>2910</v>
      </c>
      <c r="U19" s="4">
        <f>IFERROR(VLOOKUP(A19,'[1]Page 1'!$A:$E,4,0),0)</f>
        <v>31479636203</v>
      </c>
      <c r="W19" s="4">
        <f>IFERROR(VLOOKUP(A19,'[1]Page 1'!$A:$E,3,0),0)</f>
        <v>28875057000</v>
      </c>
      <c r="Y19" s="1">
        <v>6.8339025120400312E-3</v>
      </c>
    </row>
    <row r="20" spans="1:25" ht="21" x14ac:dyDescent="0.2">
      <c r="A20" s="20" t="s">
        <v>81</v>
      </c>
      <c r="C20" s="4">
        <v>2563000</v>
      </c>
      <c r="E20" s="4">
        <v>16392908548</v>
      </c>
      <c r="G20" s="4">
        <v>18666999993.400002</v>
      </c>
      <c r="I20" s="4">
        <v>50000</v>
      </c>
      <c r="K20" s="4">
        <v>378999432</v>
      </c>
      <c r="M20" s="4">
        <v>-1356501</v>
      </c>
      <c r="O20" s="4">
        <v>10471998825</v>
      </c>
      <c r="Q20" s="4">
        <f>IFERROR(VLOOKUP(A20,'[1]Page 1'!$A:$E,2,0),0)</f>
        <v>1256499</v>
      </c>
      <c r="S20" s="4">
        <f>IFERROR(VLOOKUP(A20,'[1]Page 1'!$A:$E,5,0),0)</f>
        <v>6550</v>
      </c>
      <c r="U20" s="4">
        <f>IFERROR(VLOOKUP(A20,'[1]Page 1'!$A:$E,4,0),0)</f>
        <v>8065015536</v>
      </c>
      <c r="W20" s="4">
        <f>IFERROR(VLOOKUP(A20,'[1]Page 1'!$A:$E,3,0),0)</f>
        <v>8166450020.8815002</v>
      </c>
      <c r="Y20" s="1">
        <v>1.9327658231861309E-3</v>
      </c>
    </row>
    <row r="21" spans="1:25" ht="21" x14ac:dyDescent="0.2">
      <c r="A21" s="20" t="s">
        <v>66</v>
      </c>
      <c r="C21" s="4">
        <v>100000</v>
      </c>
      <c r="E21" s="4">
        <v>11910805182</v>
      </c>
      <c r="G21" s="4">
        <v>15102349400</v>
      </c>
      <c r="I21" s="4">
        <v>0</v>
      </c>
      <c r="K21" s="4">
        <v>0</v>
      </c>
      <c r="M21" s="4">
        <v>0</v>
      </c>
      <c r="O21" s="4">
        <v>0</v>
      </c>
      <c r="Q21" s="4">
        <f>IFERROR(VLOOKUP(A21,'[1]Page 1'!$A:$E,2,0),0)</f>
        <v>100000</v>
      </c>
      <c r="S21" s="4">
        <f>IFERROR(VLOOKUP(A21,'[1]Page 1'!$A:$E,5,0),0)</f>
        <v>111850</v>
      </c>
      <c r="U21" s="4">
        <f>IFERROR(VLOOKUP(A21,'[1]Page 1'!$A:$E,4,0),0)</f>
        <v>11910805182</v>
      </c>
      <c r="W21" s="4">
        <f>IFERROR(VLOOKUP(A21,'[1]Page 1'!$A:$E,3,0),0)</f>
        <v>11098539950</v>
      </c>
      <c r="Y21" s="1">
        <v>2.6267078899370362E-3</v>
      </c>
    </row>
    <row r="22" spans="1:25" ht="21" x14ac:dyDescent="0.2">
      <c r="A22" s="20" t="s">
        <v>67</v>
      </c>
      <c r="C22" s="4">
        <v>1000000</v>
      </c>
      <c r="E22" s="4">
        <v>39351484268</v>
      </c>
      <c r="G22" s="4">
        <v>68377325700</v>
      </c>
      <c r="I22" s="4">
        <v>0</v>
      </c>
      <c r="K22" s="4">
        <v>0</v>
      </c>
      <c r="M22" s="4">
        <v>-145000</v>
      </c>
      <c r="O22" s="4">
        <v>9684604835</v>
      </c>
      <c r="Q22" s="4">
        <f>IFERROR(VLOOKUP(A22,'[1]Page 1'!$A:$E,2,0),0)</f>
        <v>855000</v>
      </c>
      <c r="S22" s="4">
        <f>IFERROR(VLOOKUP(A22,'[1]Page 1'!$A:$E,5,0),0)</f>
        <v>60340</v>
      </c>
      <c r="U22" s="4">
        <f>IFERROR(VLOOKUP(A22,'[1]Page 1'!$A:$E,4,0),0)</f>
        <v>33645519049</v>
      </c>
      <c r="W22" s="4">
        <f>IFERROR(VLOOKUP(A22,'[1]Page 1'!$A:$E,3,0),0)</f>
        <v>51191903889</v>
      </c>
      <c r="Y22" s="1">
        <v>1.2115663722608373E-2</v>
      </c>
    </row>
    <row r="23" spans="1:25" ht="21" x14ac:dyDescent="0.2">
      <c r="A23" s="20" t="s">
        <v>68</v>
      </c>
      <c r="C23" s="4">
        <v>562499</v>
      </c>
      <c r="E23" s="4">
        <v>5010786764</v>
      </c>
      <c r="G23" s="4">
        <v>5497786194.8905001</v>
      </c>
      <c r="I23" s="4">
        <v>0</v>
      </c>
      <c r="K23" s="4">
        <v>0</v>
      </c>
      <c r="M23" s="4">
        <v>0</v>
      </c>
      <c r="O23" s="4">
        <v>0</v>
      </c>
      <c r="Q23" s="4">
        <f>IFERROR(VLOOKUP(A23,'[1]Page 1'!$A:$E,2,0),0)</f>
        <v>562499</v>
      </c>
      <c r="S23" s="4">
        <f>IFERROR(VLOOKUP(A23,'[1]Page 1'!$A:$E,5,0),0)</f>
        <v>8790</v>
      </c>
      <c r="U23" s="4">
        <f>IFERROR(VLOOKUP(A23,'[1]Page 1'!$A:$E,4,0),0)</f>
        <v>5010786764</v>
      </c>
      <c r="W23" s="4">
        <f>IFERROR(VLOOKUP(A23,'[1]Page 1'!$A:$E,3,0),0)</f>
        <v>4906146259.1967001</v>
      </c>
      <c r="Y23" s="1">
        <v>1.1611449025073831E-3</v>
      </c>
    </row>
    <row r="24" spans="1:25" ht="21" x14ac:dyDescent="0.2">
      <c r="A24" s="20" t="s">
        <v>69</v>
      </c>
      <c r="C24" s="4">
        <v>2500000</v>
      </c>
      <c r="E24" s="4">
        <v>64033367785</v>
      </c>
      <c r="G24" s="4">
        <v>109075279750</v>
      </c>
      <c r="I24" s="4">
        <v>0</v>
      </c>
      <c r="K24" s="4">
        <v>0</v>
      </c>
      <c r="M24" s="4">
        <v>-125000</v>
      </c>
      <c r="O24" s="4">
        <v>4966311356</v>
      </c>
      <c r="Q24" s="4">
        <f>IFERROR(VLOOKUP(A24,'[1]Page 1'!$A:$E,2,0),0)</f>
        <v>2375000</v>
      </c>
      <c r="S24" s="4">
        <f>IFERROR(VLOOKUP(A24,'[1]Page 1'!$A:$E,5,0),0)</f>
        <v>35460</v>
      </c>
      <c r="U24" s="4">
        <f>IFERROR(VLOOKUP(A24,'[1]Page 1'!$A:$E,4,0),0)</f>
        <v>60831699396</v>
      </c>
      <c r="W24" s="4">
        <f>IFERROR(VLOOKUP(A24,'[1]Page 1'!$A:$E,3,0),0)</f>
        <v>83566498725</v>
      </c>
      <c r="Y24" s="1">
        <v>1.9777807038066371E-2</v>
      </c>
    </row>
    <row r="25" spans="1:25" ht="21" x14ac:dyDescent="0.2">
      <c r="A25" s="20" t="s">
        <v>70</v>
      </c>
      <c r="C25" s="4">
        <v>3400000</v>
      </c>
      <c r="E25" s="4">
        <v>13643272166</v>
      </c>
      <c r="G25" s="4">
        <v>15137872666</v>
      </c>
      <c r="I25" s="4">
        <v>1770000</v>
      </c>
      <c r="K25" s="4">
        <v>7219397721</v>
      </c>
      <c r="M25" s="4">
        <v>-170000</v>
      </c>
      <c r="O25" s="4">
        <v>657031583</v>
      </c>
      <c r="Q25" s="4">
        <f>IFERROR(VLOOKUP(A25,'[1]Page 1'!$A:$E,2,0),0)</f>
        <v>5000000</v>
      </c>
      <c r="S25" s="4">
        <f>IFERROR(VLOOKUP(A25,'[1]Page 1'!$A:$E,5,0),0)</f>
        <v>3680</v>
      </c>
      <c r="U25" s="4">
        <f>IFERROR(VLOOKUP(A25,'[1]Page 1'!$A:$E,4,0),0)</f>
        <v>20180506279</v>
      </c>
      <c r="W25" s="4">
        <f>IFERROR(VLOOKUP(A25,'[1]Page 1'!$A:$E,3,0),0)</f>
        <v>18257768000</v>
      </c>
      <c r="Y25" s="1">
        <v>4.3210929973036627E-3</v>
      </c>
    </row>
    <row r="26" spans="1:25" ht="21" x14ac:dyDescent="0.2">
      <c r="A26" s="20" t="s">
        <v>71</v>
      </c>
      <c r="C26" s="4">
        <v>3400000</v>
      </c>
      <c r="E26" s="4">
        <v>27972320158</v>
      </c>
      <c r="G26" s="4">
        <v>34411923600</v>
      </c>
      <c r="I26" s="4">
        <v>0</v>
      </c>
      <c r="K26" s="4">
        <v>0</v>
      </c>
      <c r="M26" s="4">
        <v>0</v>
      </c>
      <c r="O26" s="4">
        <v>0</v>
      </c>
      <c r="Q26" s="4">
        <f>IFERROR(VLOOKUP(A26,'[1]Page 1'!$A:$E,2,0),0)</f>
        <v>3400000</v>
      </c>
      <c r="S26" s="4">
        <f>IFERROR(VLOOKUP(A26,'[1]Page 1'!$A:$E,5,0),0)</f>
        <v>8430</v>
      </c>
      <c r="U26" s="4">
        <f>IFERROR(VLOOKUP(A26,'[1]Page 1'!$A:$E,4,0),0)</f>
        <v>27972320158</v>
      </c>
      <c r="W26" s="4">
        <f>IFERROR(VLOOKUP(A26,'[1]Page 1'!$A:$E,3,0),0)</f>
        <v>28440442740</v>
      </c>
      <c r="Y26" s="1">
        <v>6.7310417113433463E-3</v>
      </c>
    </row>
    <row r="27" spans="1:25" ht="21" x14ac:dyDescent="0.2">
      <c r="A27" s="20" t="s">
        <v>84</v>
      </c>
      <c r="C27" s="4">
        <v>0</v>
      </c>
      <c r="E27" s="4">
        <v>0</v>
      </c>
      <c r="G27" s="4">
        <v>0</v>
      </c>
      <c r="I27" s="4">
        <v>2000000</v>
      </c>
      <c r="K27" s="4">
        <v>4443360508</v>
      </c>
      <c r="M27" s="4">
        <v>0</v>
      </c>
      <c r="O27" s="4">
        <v>0</v>
      </c>
      <c r="Q27" s="4">
        <f>IFERROR(VLOOKUP(A27,'[1]Page 1'!$A:$E,2,0),0)</f>
        <v>2000000</v>
      </c>
      <c r="S27" s="4">
        <f>IFERROR(VLOOKUP(A27,'[1]Page 1'!$A:$E,5,0),0)</f>
        <v>2150</v>
      </c>
      <c r="U27" s="4">
        <f>IFERROR(VLOOKUP(A27,'[1]Page 1'!$A:$E,4,0),0)</f>
        <v>4443360508</v>
      </c>
      <c r="W27" s="4">
        <f>IFERROR(VLOOKUP(A27,'[1]Page 1'!$A:$E,3,0),0)</f>
        <v>4266761000</v>
      </c>
      <c r="Y27" s="1">
        <v>1.0098206461090081E-3</v>
      </c>
    </row>
    <row r="28" spans="1:25" ht="21" x14ac:dyDescent="0.2">
      <c r="A28" s="20" t="s">
        <v>73</v>
      </c>
      <c r="C28" s="4">
        <v>2457000</v>
      </c>
      <c r="E28" s="4">
        <v>21210703207</v>
      </c>
      <c r="G28" s="4">
        <v>23161070205</v>
      </c>
      <c r="I28" s="4">
        <v>0</v>
      </c>
      <c r="K28" s="4">
        <v>0</v>
      </c>
      <c r="M28" s="4">
        <v>0</v>
      </c>
      <c r="O28" s="4">
        <v>0</v>
      </c>
      <c r="Q28" s="4">
        <f>IFERROR(VLOOKUP(A28,'[1]Page 1'!$A:$E,2,0),0)</f>
        <v>2457000</v>
      </c>
      <c r="S28" s="4">
        <f>IFERROR(VLOOKUP(A28,'[1]Page 1'!$A:$E,5,0),0)</f>
        <v>7710</v>
      </c>
      <c r="U28" s="4">
        <f>IFERROR(VLOOKUP(A28,'[1]Page 1'!$A:$E,4,0),0)</f>
        <v>21210703207</v>
      </c>
      <c r="W28" s="4">
        <f>IFERROR(VLOOKUP(A28,'[1]Page 1'!$A:$E,3,0),0)</f>
        <v>18797036976.900002</v>
      </c>
      <c r="Y28" s="1">
        <v>4.4487225848713055E-3</v>
      </c>
    </row>
    <row r="29" spans="1:25" ht="21" x14ac:dyDescent="0.2">
      <c r="A29" s="20" t="s">
        <v>74</v>
      </c>
      <c r="C29" s="4">
        <v>0</v>
      </c>
      <c r="E29" s="4">
        <v>0</v>
      </c>
      <c r="G29" s="4">
        <v>0</v>
      </c>
      <c r="I29" s="4">
        <v>0</v>
      </c>
      <c r="K29" s="4">
        <v>0</v>
      </c>
      <c r="M29" s="4">
        <v>0</v>
      </c>
      <c r="O29" s="4">
        <v>0</v>
      </c>
      <c r="Q29" s="4">
        <f>IFERROR(VLOOKUP(A29,'[1]Page 1'!$A:$E,2,0),0)</f>
        <v>0</v>
      </c>
      <c r="S29" s="4">
        <f>IFERROR(VLOOKUP(A29,'[1]Page 1'!$A:$E,5,0),0)</f>
        <v>0</v>
      </c>
      <c r="U29" s="4">
        <f>IFERROR(VLOOKUP(A29,'[1]Page 1'!$A:$E,4,0),0)</f>
        <v>0</v>
      </c>
      <c r="W29" s="4">
        <f>IFERROR(VLOOKUP(A29,'[1]Page 1'!$A:$E,3,0),0)</f>
        <v>0</v>
      </c>
      <c r="Y29" s="1">
        <v>0</v>
      </c>
    </row>
    <row r="30" spans="1:25" ht="21" x14ac:dyDescent="0.2">
      <c r="A30" s="20" t="s">
        <v>51</v>
      </c>
      <c r="C30" s="4">
        <v>270000000</v>
      </c>
      <c r="E30" s="4">
        <v>593822866824</v>
      </c>
      <c r="G30" s="4">
        <v>715595355900</v>
      </c>
      <c r="I30" s="4">
        <v>16829550</v>
      </c>
      <c r="K30" s="4">
        <v>0</v>
      </c>
      <c r="M30" s="4">
        <v>-24200000</v>
      </c>
      <c r="O30" s="4">
        <v>60785613346</v>
      </c>
      <c r="Q30" s="4">
        <f>IFERROR(VLOOKUP(A30,'[1]Page 1'!$A:$E,2,0),0)</f>
        <v>262629550</v>
      </c>
      <c r="S30" s="4">
        <f>IFERROR(VLOOKUP(A30,'[1]Page 1'!$A:$E,5,0),0)</f>
        <v>2072</v>
      </c>
      <c r="U30" s="4">
        <f>IFERROR(VLOOKUP(A30,'[1]Page 1'!$A:$E,4,0),0)</f>
        <v>540598743190</v>
      </c>
      <c r="W30" s="4">
        <f>IFERROR(VLOOKUP(A30,'[1]Page 1'!$A:$E,3,0),0)</f>
        <v>539962005654.65198</v>
      </c>
      <c r="Y30" s="1">
        <v>0.12779360770957093</v>
      </c>
    </row>
    <row r="31" spans="1:25" ht="21.75" thickBot="1" x14ac:dyDescent="0.25">
      <c r="A31" s="20" t="s">
        <v>52</v>
      </c>
      <c r="C31" s="4">
        <v>200000000</v>
      </c>
      <c r="E31" s="4">
        <v>544685891890</v>
      </c>
      <c r="G31" s="4">
        <v>601315620000</v>
      </c>
      <c r="I31" s="4">
        <v>0</v>
      </c>
      <c r="K31" s="4">
        <v>0</v>
      </c>
      <c r="M31" s="4">
        <v>-12660000</v>
      </c>
      <c r="O31" s="4">
        <v>33430608567</v>
      </c>
      <c r="Q31" s="4">
        <f>IFERROR(VLOOKUP(A31,'[1]Page 1'!$A:$E,2,0),0)</f>
        <v>187340000</v>
      </c>
      <c r="S31" s="4">
        <f>IFERROR(VLOOKUP(A31,'[1]Page 1'!$A:$E,5,0),0)</f>
        <v>2516</v>
      </c>
      <c r="U31" s="4">
        <f>IFERROR(VLOOKUP(A31,'[1]Page 1'!$A:$E,4,0),0)</f>
        <v>510207274926</v>
      </c>
      <c r="W31" s="4">
        <f>IFERROR(VLOOKUP(A31,'[1]Page 1'!$A:$E,3,0),0)</f>
        <v>467703924288.79999</v>
      </c>
      <c r="Y31" s="1">
        <v>0.11069218055875045</v>
      </c>
    </row>
    <row r="32" spans="1:25" s="20" customFormat="1" ht="21.75" thickBot="1" x14ac:dyDescent="0.25">
      <c r="E32" s="21">
        <f>SUM(E9:E31)</f>
        <v>4712811752441</v>
      </c>
      <c r="G32" s="21">
        <f>SUM(G9:G31)</f>
        <v>5635851538151.6621</v>
      </c>
      <c r="I32" s="20" t="s">
        <v>15</v>
      </c>
      <c r="K32" s="21">
        <f>SUM(K9:K31)</f>
        <v>50388301398</v>
      </c>
      <c r="M32" s="20" t="s">
        <v>15</v>
      </c>
      <c r="O32" s="21">
        <f>SUM(O9:O31)</f>
        <v>408486912029</v>
      </c>
      <c r="S32" s="20" t="s">
        <v>15</v>
      </c>
      <c r="U32" s="21">
        <f>SUM(U9:U31)</f>
        <v>4358163670539</v>
      </c>
      <c r="W32" s="21">
        <f>SUM(W9:W31)</f>
        <v>4176689265551.9482</v>
      </c>
      <c r="Y32" s="13">
        <f>SUM(Y9:Y31)</f>
        <v>0.98850323529633544</v>
      </c>
    </row>
    <row r="33" ht="19.5" thickTop="1" x14ac:dyDescent="0.2"/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34"/>
  <sheetViews>
    <sheetView rightToLeft="1" topLeftCell="A7" zoomScale="85" zoomScaleNormal="85" workbookViewId="0">
      <selection activeCell="A2" sqref="A2:Y2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6.25" x14ac:dyDescent="0.2">
      <c r="A2" s="61" t="str">
        <f>+سهام!A2</f>
        <v>صندوق سرمایه‌گذاری بخشی صنایع مفید - معدن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</row>
    <row r="3" spans="1:17" ht="26.25" x14ac:dyDescent="0.2">
      <c r="A3" s="61" t="s">
        <v>22</v>
      </c>
      <c r="B3" s="61" t="s">
        <v>22</v>
      </c>
      <c r="C3" s="61" t="s">
        <v>22</v>
      </c>
      <c r="D3" s="61" t="s">
        <v>22</v>
      </c>
      <c r="E3" s="61" t="s">
        <v>22</v>
      </c>
      <c r="F3" s="61" t="s">
        <v>22</v>
      </c>
      <c r="G3" s="61" t="s">
        <v>22</v>
      </c>
      <c r="H3" s="61" t="s">
        <v>22</v>
      </c>
      <c r="I3" s="61" t="s">
        <v>22</v>
      </c>
      <c r="J3" s="61" t="s">
        <v>22</v>
      </c>
      <c r="K3" s="61" t="s">
        <v>22</v>
      </c>
      <c r="L3" s="61" t="s">
        <v>22</v>
      </c>
      <c r="M3" s="61" t="s">
        <v>22</v>
      </c>
      <c r="N3" s="61" t="s">
        <v>22</v>
      </c>
      <c r="O3" s="61" t="s">
        <v>22</v>
      </c>
      <c r="P3" s="61" t="s">
        <v>22</v>
      </c>
      <c r="Q3" s="61" t="s">
        <v>22</v>
      </c>
    </row>
    <row r="4" spans="1:17" ht="26.25" x14ac:dyDescent="0.2">
      <c r="A4" s="61" t="str">
        <f>+سهام!A4</f>
        <v>برای ماه منتهی به 1404/11/30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</row>
    <row r="6" spans="1:17" ht="27" thickBot="1" x14ac:dyDescent="0.25">
      <c r="A6" s="62" t="s">
        <v>3</v>
      </c>
      <c r="C6" s="62" t="s">
        <v>24</v>
      </c>
      <c r="D6" s="62" t="s">
        <v>24</v>
      </c>
      <c r="E6" s="62" t="s">
        <v>24</v>
      </c>
      <c r="F6" s="62" t="s">
        <v>24</v>
      </c>
      <c r="G6" s="62" t="s">
        <v>24</v>
      </c>
      <c r="H6" s="62" t="s">
        <v>24</v>
      </c>
      <c r="I6" s="62" t="s">
        <v>24</v>
      </c>
      <c r="K6" s="62" t="s">
        <v>25</v>
      </c>
      <c r="L6" s="62" t="s">
        <v>25</v>
      </c>
      <c r="M6" s="62" t="s">
        <v>25</v>
      </c>
      <c r="N6" s="62" t="s">
        <v>25</v>
      </c>
      <c r="O6" s="62" t="s">
        <v>25</v>
      </c>
      <c r="P6" s="62" t="s">
        <v>25</v>
      </c>
      <c r="Q6" s="62" t="s">
        <v>25</v>
      </c>
    </row>
    <row r="7" spans="1:17" ht="27" thickBot="1" x14ac:dyDescent="0.25">
      <c r="A7" s="62" t="s">
        <v>3</v>
      </c>
      <c r="C7" s="32" t="s">
        <v>7</v>
      </c>
      <c r="E7" s="32" t="s">
        <v>30</v>
      </c>
      <c r="G7" s="32" t="s">
        <v>31</v>
      </c>
      <c r="I7" s="32" t="s">
        <v>32</v>
      </c>
      <c r="K7" s="32" t="s">
        <v>7</v>
      </c>
      <c r="M7" s="32" t="s">
        <v>30</v>
      </c>
      <c r="O7" s="32" t="s">
        <v>31</v>
      </c>
      <c r="Q7" s="32" t="s">
        <v>32</v>
      </c>
    </row>
    <row r="8" spans="1:17" ht="21" x14ac:dyDescent="0.2">
      <c r="A8" s="20" t="s">
        <v>73</v>
      </c>
      <c r="C8" s="3">
        <v>2457000</v>
      </c>
      <c r="E8" s="3">
        <v>18797036977</v>
      </c>
      <c r="G8" s="3">
        <v>23161070205</v>
      </c>
      <c r="I8" s="43">
        <f>+E8-G8</f>
        <v>-4364033228</v>
      </c>
      <c r="K8" s="45">
        <v>2457000</v>
      </c>
      <c r="L8" s="45"/>
      <c r="M8" s="45">
        <v>18797036977</v>
      </c>
      <c r="N8" s="45"/>
      <c r="O8" s="45">
        <v>25135856190</v>
      </c>
      <c r="Q8" s="3">
        <f>+M8-O8</f>
        <v>-6338819213</v>
      </c>
    </row>
    <row r="9" spans="1:17" ht="21" x14ac:dyDescent="0.2">
      <c r="A9" s="20" t="s">
        <v>68</v>
      </c>
      <c r="C9" s="3">
        <v>562499</v>
      </c>
      <c r="E9" s="3">
        <v>4906146259</v>
      </c>
      <c r="G9" s="3">
        <v>5497786194</v>
      </c>
      <c r="I9" s="48">
        <f t="shared" ref="I9:I27" si="0">+E9-G9</f>
        <v>-591639935</v>
      </c>
      <c r="K9" s="45">
        <v>562499</v>
      </c>
      <c r="L9" s="45"/>
      <c r="M9" s="45">
        <v>4906146259</v>
      </c>
      <c r="N9" s="45"/>
      <c r="O9" s="45">
        <v>5542438265</v>
      </c>
      <c r="Q9" s="48">
        <f t="shared" ref="Q9:Q27" si="1">+M9-O9</f>
        <v>-636292006</v>
      </c>
    </row>
    <row r="10" spans="1:17" ht="21" x14ac:dyDescent="0.2">
      <c r="A10" s="20" t="s">
        <v>84</v>
      </c>
      <c r="C10" s="3">
        <v>2000000</v>
      </c>
      <c r="E10" s="3">
        <v>4266761000</v>
      </c>
      <c r="G10" s="3">
        <v>4443360508</v>
      </c>
      <c r="I10" s="48">
        <f t="shared" si="0"/>
        <v>-176599508</v>
      </c>
      <c r="K10" s="45">
        <v>2000000</v>
      </c>
      <c r="L10" s="45"/>
      <c r="M10" s="45">
        <v>4266761000</v>
      </c>
      <c r="N10" s="45"/>
      <c r="O10" s="45">
        <v>4443360508</v>
      </c>
      <c r="Q10" s="48">
        <f t="shared" si="1"/>
        <v>-176599508</v>
      </c>
    </row>
    <row r="11" spans="1:17" ht="21" x14ac:dyDescent="0.2">
      <c r="A11" s="20" t="s">
        <v>81</v>
      </c>
      <c r="C11" s="3">
        <v>1256499</v>
      </c>
      <c r="E11" s="3">
        <v>8166450021</v>
      </c>
      <c r="G11" s="3">
        <v>10339106981</v>
      </c>
      <c r="I11" s="48">
        <f t="shared" si="0"/>
        <v>-2172656960</v>
      </c>
      <c r="K11" s="45">
        <v>1256499</v>
      </c>
      <c r="L11" s="45"/>
      <c r="M11" s="45">
        <v>8166450021</v>
      </c>
      <c r="N11" s="45"/>
      <c r="O11" s="45">
        <v>8065015536</v>
      </c>
      <c r="Q11" s="48">
        <f t="shared" si="1"/>
        <v>101434485</v>
      </c>
    </row>
    <row r="12" spans="1:17" ht="21" x14ac:dyDescent="0.2">
      <c r="A12" s="20" t="s">
        <v>65</v>
      </c>
      <c r="C12" s="3">
        <v>52200000</v>
      </c>
      <c r="E12" s="3">
        <v>190507504932</v>
      </c>
      <c r="G12" s="3">
        <v>226778811128</v>
      </c>
      <c r="I12" s="48">
        <f t="shared" si="0"/>
        <v>-36271306196</v>
      </c>
      <c r="K12" s="45">
        <v>52200000</v>
      </c>
      <c r="L12" s="45"/>
      <c r="M12" s="45">
        <v>190507504932</v>
      </c>
      <c r="N12" s="45"/>
      <c r="O12" s="45">
        <v>216492462915</v>
      </c>
      <c r="Q12" s="48">
        <f t="shared" si="1"/>
        <v>-25984957983</v>
      </c>
    </row>
    <row r="13" spans="1:17" ht="21" x14ac:dyDescent="0.2">
      <c r="A13" s="20" t="s">
        <v>64</v>
      </c>
      <c r="C13" s="3">
        <v>13300000</v>
      </c>
      <c r="E13" s="3">
        <v>197957865000</v>
      </c>
      <c r="G13" s="3">
        <v>218795535000</v>
      </c>
      <c r="I13" s="48">
        <f t="shared" si="0"/>
        <v>-20837670000</v>
      </c>
      <c r="K13" s="45">
        <v>13300000</v>
      </c>
      <c r="L13" s="45"/>
      <c r="M13" s="45">
        <v>197957865000</v>
      </c>
      <c r="N13" s="45"/>
      <c r="O13" s="45">
        <v>187400112200</v>
      </c>
      <c r="Q13" s="48">
        <f t="shared" si="1"/>
        <v>10557752800</v>
      </c>
    </row>
    <row r="14" spans="1:17" s="44" customFormat="1" ht="21" x14ac:dyDescent="0.2">
      <c r="A14" s="20" t="s">
        <v>48</v>
      </c>
      <c r="C14" s="44">
        <v>25969253</v>
      </c>
      <c r="E14" s="44">
        <v>179091149186</v>
      </c>
      <c r="G14" s="44">
        <v>233098651833</v>
      </c>
      <c r="I14" s="48">
        <f t="shared" si="0"/>
        <v>-54007502647</v>
      </c>
      <c r="K14" s="45">
        <v>25969253</v>
      </c>
      <c r="L14" s="45"/>
      <c r="M14" s="45">
        <v>179091149186</v>
      </c>
      <c r="N14" s="45"/>
      <c r="O14" s="45">
        <v>201767438577</v>
      </c>
      <c r="Q14" s="48">
        <f t="shared" si="1"/>
        <v>-22676289391</v>
      </c>
    </row>
    <row r="15" spans="1:17" s="44" customFormat="1" ht="21" x14ac:dyDescent="0.2">
      <c r="A15" s="20" t="s">
        <v>61</v>
      </c>
      <c r="C15" s="44">
        <v>75390988</v>
      </c>
      <c r="E15" s="44">
        <v>211707250326</v>
      </c>
      <c r="G15" s="44">
        <v>262320914025</v>
      </c>
      <c r="I15" s="48">
        <f t="shared" si="0"/>
        <v>-50613663699</v>
      </c>
      <c r="K15" s="45">
        <v>75390988</v>
      </c>
      <c r="L15" s="45"/>
      <c r="M15" s="45">
        <v>211707250326</v>
      </c>
      <c r="N15" s="45"/>
      <c r="O15" s="45">
        <v>295866492949</v>
      </c>
      <c r="Q15" s="48">
        <f t="shared" si="1"/>
        <v>-84159242623</v>
      </c>
    </row>
    <row r="16" spans="1:17" s="44" customFormat="1" ht="21" x14ac:dyDescent="0.2">
      <c r="A16" s="20" t="s">
        <v>66</v>
      </c>
      <c r="C16" s="44">
        <v>100000</v>
      </c>
      <c r="E16" s="44">
        <v>11098539950</v>
      </c>
      <c r="G16" s="44">
        <v>15102349400</v>
      </c>
      <c r="I16" s="48">
        <f t="shared" si="0"/>
        <v>-4003809450</v>
      </c>
      <c r="K16" s="45">
        <v>100000</v>
      </c>
      <c r="L16" s="45"/>
      <c r="M16" s="45">
        <v>11098539950</v>
      </c>
      <c r="N16" s="45"/>
      <c r="O16" s="45">
        <v>13931470800</v>
      </c>
      <c r="Q16" s="48">
        <f t="shared" si="1"/>
        <v>-2832930850</v>
      </c>
    </row>
    <row r="17" spans="1:17" s="44" customFormat="1" ht="21" x14ac:dyDescent="0.2">
      <c r="A17" s="20" t="s">
        <v>71</v>
      </c>
      <c r="C17" s="44">
        <v>3400000</v>
      </c>
      <c r="E17" s="44">
        <v>28440442740</v>
      </c>
      <c r="G17" s="44">
        <v>34411923600</v>
      </c>
      <c r="I17" s="48">
        <f t="shared" si="0"/>
        <v>-5971480860</v>
      </c>
      <c r="K17" s="45">
        <v>3400000</v>
      </c>
      <c r="L17" s="45"/>
      <c r="M17" s="45">
        <v>28440442740</v>
      </c>
      <c r="N17" s="45"/>
      <c r="O17" s="45">
        <v>28345187981</v>
      </c>
      <c r="Q17" s="48">
        <f t="shared" si="1"/>
        <v>95254759</v>
      </c>
    </row>
    <row r="18" spans="1:17" s="43" customFormat="1" ht="21" x14ac:dyDescent="0.2">
      <c r="A18" s="20" t="s">
        <v>70</v>
      </c>
      <c r="C18" s="43">
        <v>5000000</v>
      </c>
      <c r="E18" s="43">
        <v>18257768000</v>
      </c>
      <c r="G18" s="43">
        <v>21663802652</v>
      </c>
      <c r="I18" s="48">
        <f t="shared" si="0"/>
        <v>-3406034652</v>
      </c>
      <c r="K18" s="45">
        <v>5000000</v>
      </c>
      <c r="L18" s="45"/>
      <c r="M18" s="45">
        <v>18257768000</v>
      </c>
      <c r="N18" s="45"/>
      <c r="O18" s="45">
        <v>20395284684</v>
      </c>
      <c r="Q18" s="48">
        <f t="shared" si="1"/>
        <v>-2137516684</v>
      </c>
    </row>
    <row r="19" spans="1:17" s="43" customFormat="1" ht="21" x14ac:dyDescent="0.2">
      <c r="A19" s="20" t="s">
        <v>62</v>
      </c>
      <c r="C19" s="43">
        <v>45800544</v>
      </c>
      <c r="E19" s="43">
        <v>74850395044</v>
      </c>
      <c r="G19" s="43">
        <v>86892091566</v>
      </c>
      <c r="I19" s="48">
        <f t="shared" si="0"/>
        <v>-12041696522</v>
      </c>
      <c r="K19" s="45">
        <v>45800544</v>
      </c>
      <c r="L19" s="45"/>
      <c r="M19" s="45">
        <v>74850395044</v>
      </c>
      <c r="N19" s="45"/>
      <c r="O19" s="45">
        <v>79653201413</v>
      </c>
      <c r="Q19" s="48">
        <f t="shared" si="1"/>
        <v>-4802806369</v>
      </c>
    </row>
    <row r="20" spans="1:17" s="43" customFormat="1" ht="21" x14ac:dyDescent="0.2">
      <c r="A20" s="20" t="s">
        <v>52</v>
      </c>
      <c r="C20" s="43">
        <v>187340000</v>
      </c>
      <c r="E20" s="43">
        <v>467703924289</v>
      </c>
      <c r="G20" s="43">
        <v>562594663228</v>
      </c>
      <c r="I20" s="48">
        <f t="shared" si="0"/>
        <v>-94890738939</v>
      </c>
      <c r="K20" s="45">
        <v>187340000</v>
      </c>
      <c r="L20" s="45"/>
      <c r="M20" s="45">
        <v>467703924289</v>
      </c>
      <c r="N20" s="45"/>
      <c r="O20" s="45">
        <v>572984522403</v>
      </c>
      <c r="Q20" s="48">
        <f t="shared" si="1"/>
        <v>-105280598114</v>
      </c>
    </row>
    <row r="21" spans="1:17" s="43" customFormat="1" ht="21" x14ac:dyDescent="0.2">
      <c r="A21" s="20" t="s">
        <v>49</v>
      </c>
      <c r="C21" s="43">
        <v>540000000</v>
      </c>
      <c r="E21" s="43">
        <v>1152561295800</v>
      </c>
      <c r="G21" s="43">
        <v>1602654967800</v>
      </c>
      <c r="I21" s="48">
        <f t="shared" si="0"/>
        <v>-450093672000</v>
      </c>
      <c r="K21" s="45">
        <v>540000000</v>
      </c>
      <c r="L21" s="45"/>
      <c r="M21" s="45">
        <v>1152561295800</v>
      </c>
      <c r="N21" s="45"/>
      <c r="O21" s="45">
        <v>1428734830343</v>
      </c>
      <c r="Q21" s="48">
        <f t="shared" si="1"/>
        <v>-276173534543</v>
      </c>
    </row>
    <row r="22" spans="1:17" ht="21" x14ac:dyDescent="0.2">
      <c r="A22" s="20" t="s">
        <v>80</v>
      </c>
      <c r="C22" s="3">
        <v>10000000</v>
      </c>
      <c r="E22" s="3">
        <v>28875057000</v>
      </c>
      <c r="G22" s="3">
        <v>33365876629</v>
      </c>
      <c r="I22" s="48">
        <f t="shared" si="0"/>
        <v>-4490819629</v>
      </c>
      <c r="K22" s="45">
        <v>10000000</v>
      </c>
      <c r="L22" s="45"/>
      <c r="M22" s="45">
        <v>28875057000</v>
      </c>
      <c r="N22" s="45"/>
      <c r="O22" s="45">
        <v>31479636203</v>
      </c>
      <c r="Q22" s="48">
        <f t="shared" si="1"/>
        <v>-2604579203</v>
      </c>
    </row>
    <row r="23" spans="1:17" ht="21" x14ac:dyDescent="0.2">
      <c r="A23" s="20" t="s">
        <v>50</v>
      </c>
      <c r="C23" s="3">
        <v>75649236</v>
      </c>
      <c r="E23" s="3">
        <v>229472076860</v>
      </c>
      <c r="G23" s="3">
        <v>282513619556</v>
      </c>
      <c r="I23" s="48">
        <f t="shared" si="0"/>
        <v>-53041542696</v>
      </c>
      <c r="K23" s="45">
        <v>75649236</v>
      </c>
      <c r="L23" s="45"/>
      <c r="M23" s="45">
        <v>229472076860</v>
      </c>
      <c r="N23" s="45"/>
      <c r="O23" s="45">
        <v>249739482873</v>
      </c>
      <c r="Q23" s="48">
        <f t="shared" si="1"/>
        <v>-20267406013</v>
      </c>
    </row>
    <row r="24" spans="1:17" ht="21" x14ac:dyDescent="0.2">
      <c r="A24" s="20" t="s">
        <v>46</v>
      </c>
      <c r="C24" s="3">
        <v>50600000</v>
      </c>
      <c r="E24" s="3">
        <v>675309193900</v>
      </c>
      <c r="G24" s="3">
        <v>823544409202</v>
      </c>
      <c r="I24" s="48">
        <f t="shared" si="0"/>
        <v>-148235215302</v>
      </c>
      <c r="K24" s="45">
        <v>50600000</v>
      </c>
      <c r="L24" s="45"/>
      <c r="M24" s="45">
        <v>675309193900</v>
      </c>
      <c r="N24" s="45"/>
      <c r="O24" s="45">
        <v>680330080102</v>
      </c>
      <c r="Q24" s="48">
        <f t="shared" si="1"/>
        <v>-5020886202</v>
      </c>
    </row>
    <row r="25" spans="1:17" ht="21" x14ac:dyDescent="0.2">
      <c r="A25" s="20" t="s">
        <v>51</v>
      </c>
      <c r="C25" s="3">
        <v>262629550</v>
      </c>
      <c r="E25" s="3">
        <v>539962005655</v>
      </c>
      <c r="G25" s="3">
        <v>654266322514</v>
      </c>
      <c r="I25" s="48">
        <f t="shared" si="0"/>
        <v>-114304316859</v>
      </c>
      <c r="K25" s="45">
        <v>262629550</v>
      </c>
      <c r="L25" s="45"/>
      <c r="M25" s="45">
        <v>539962005655</v>
      </c>
      <c r="N25" s="45"/>
      <c r="O25" s="45">
        <v>622920513241</v>
      </c>
      <c r="Q25" s="48">
        <f t="shared" si="1"/>
        <v>-82958507586</v>
      </c>
    </row>
    <row r="26" spans="1:17" s="45" customFormat="1" ht="21" x14ac:dyDescent="0.2">
      <c r="A26" s="20" t="s">
        <v>67</v>
      </c>
      <c r="C26" s="45">
        <v>855000</v>
      </c>
      <c r="E26" s="45">
        <v>51191903889</v>
      </c>
      <c r="G26" s="45">
        <v>61899886367</v>
      </c>
      <c r="I26" s="48">
        <f t="shared" si="0"/>
        <v>-10707982478</v>
      </c>
      <c r="K26" s="45">
        <v>855000</v>
      </c>
      <c r="M26" s="45">
        <v>51191903889</v>
      </c>
      <c r="O26" s="45">
        <v>38194556067</v>
      </c>
      <c r="Q26" s="48">
        <f t="shared" si="1"/>
        <v>12997347822</v>
      </c>
    </row>
    <row r="27" spans="1:17" ht="21.75" thickBot="1" x14ac:dyDescent="0.25">
      <c r="A27" s="20" t="s">
        <v>69</v>
      </c>
      <c r="C27" s="3">
        <v>2375000</v>
      </c>
      <c r="E27" s="3">
        <v>83566498725</v>
      </c>
      <c r="G27" s="3">
        <v>105459695939</v>
      </c>
      <c r="I27" s="48">
        <f t="shared" si="0"/>
        <v>-21893197214</v>
      </c>
      <c r="K27" s="45">
        <v>2375000</v>
      </c>
      <c r="L27" s="45"/>
      <c r="M27" s="45">
        <v>83566498725</v>
      </c>
      <c r="N27" s="45"/>
      <c r="O27" s="45">
        <v>68696092439</v>
      </c>
      <c r="Q27" s="48">
        <f t="shared" si="1"/>
        <v>14870406286</v>
      </c>
    </row>
    <row r="28" spans="1:17" s="22" customFormat="1" ht="21.75" thickBot="1" x14ac:dyDescent="0.25">
      <c r="E28" s="23">
        <f>SUM(E8:E27)</f>
        <v>4176689265553</v>
      </c>
      <c r="G28" s="23">
        <f>SUM(G8:G27)</f>
        <v>5268804844327</v>
      </c>
      <c r="I28" s="23">
        <f>SUM(I8:I27)</f>
        <v>-1092115578774</v>
      </c>
      <c r="K28" s="22" t="s">
        <v>15</v>
      </c>
      <c r="M28" s="23">
        <f>SUM(M8:M27)</f>
        <v>4176689265553</v>
      </c>
      <c r="O28" s="23">
        <f>SUM(O8:O27)</f>
        <v>4780118035689</v>
      </c>
      <c r="Q28" s="23">
        <f>SUM(Q8:Q27)</f>
        <v>-603428770136</v>
      </c>
    </row>
    <row r="29" spans="1:17" ht="19.5" thickTop="1" x14ac:dyDescent="0.2"/>
    <row r="30" spans="1:17" x14ac:dyDescent="0.2">
      <c r="I30" s="48"/>
    </row>
    <row r="34" spans="9:9" x14ac:dyDescent="0.2">
      <c r="I34" s="43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topLeftCell="A2" zoomScaleNormal="100" workbookViewId="0">
      <selection activeCell="A2" sqref="A2:Y2"/>
    </sheetView>
  </sheetViews>
  <sheetFormatPr defaultRowHeight="22.5" x14ac:dyDescent="0.2"/>
  <cols>
    <col min="1" max="1" width="26.75" style="30" bestFit="1" customWidth="1"/>
    <col min="2" max="2" width="0.875" style="30" customWidth="1"/>
    <col min="3" max="3" width="18" style="30" bestFit="1" customWidth="1"/>
    <col min="4" max="4" width="0.875" style="30" customWidth="1"/>
    <col min="5" max="5" width="19" style="30" bestFit="1" customWidth="1"/>
    <col min="6" max="6" width="0.875" style="30" customWidth="1"/>
    <col min="7" max="7" width="18.75" style="30" bestFit="1" customWidth="1"/>
    <col min="8" max="8" width="0.875" style="30" customWidth="1"/>
    <col min="9" max="9" width="19.75" style="30" bestFit="1" customWidth="1"/>
    <col min="10" max="10" width="0.875" style="30" customWidth="1"/>
    <col min="11" max="11" width="18.25" style="30" bestFit="1" customWidth="1"/>
    <col min="12" max="12" width="0.875" style="30" customWidth="1"/>
    <col min="13" max="13" width="8" style="30" customWidth="1"/>
    <col min="14" max="14" width="18.25" style="30" bestFit="1" customWidth="1"/>
    <col min="15" max="16384" width="9" style="30"/>
  </cols>
  <sheetData>
    <row r="2" spans="1:20" ht="24" x14ac:dyDescent="0.2">
      <c r="A2" s="51" t="str">
        <f>+سهام!A2</f>
        <v>صندوق سرمایه‌گذاری بخشی صنایع مفید - معدن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</row>
    <row r="3" spans="1:20" ht="24" x14ac:dyDescent="0.2">
      <c r="A3" s="51" t="s">
        <v>1</v>
      </c>
      <c r="B3" s="51" t="s">
        <v>1</v>
      </c>
      <c r="C3" s="51" t="s">
        <v>1</v>
      </c>
      <c r="D3" s="51" t="s">
        <v>1</v>
      </c>
      <c r="E3" s="51" t="s">
        <v>1</v>
      </c>
      <c r="F3" s="51" t="s">
        <v>1</v>
      </c>
      <c r="G3" s="51" t="s">
        <v>1</v>
      </c>
      <c r="H3" s="51" t="s">
        <v>1</v>
      </c>
      <c r="I3" s="51" t="s">
        <v>1</v>
      </c>
      <c r="J3" s="51" t="s">
        <v>1</v>
      </c>
      <c r="K3" s="51" t="s">
        <v>1</v>
      </c>
    </row>
    <row r="4" spans="1:20" ht="24" x14ac:dyDescent="0.2">
      <c r="A4" s="51" t="str">
        <f>+سهام!A4</f>
        <v>برای ماه منتهی به 1404/11/30</v>
      </c>
      <c r="B4" s="51" t="s">
        <v>16</v>
      </c>
      <c r="C4" s="51" t="s">
        <v>16</v>
      </c>
      <c r="D4" s="51" t="s">
        <v>16</v>
      </c>
      <c r="E4" s="51" t="s">
        <v>16</v>
      </c>
      <c r="F4" s="51" t="s">
        <v>16</v>
      </c>
      <c r="G4" s="51" t="s">
        <v>16</v>
      </c>
      <c r="H4" s="51" t="s">
        <v>16</v>
      </c>
      <c r="I4" s="51" t="s">
        <v>16</v>
      </c>
      <c r="J4" s="51" t="s">
        <v>16</v>
      </c>
      <c r="K4" s="51" t="s">
        <v>16</v>
      </c>
    </row>
    <row r="5" spans="1:20" ht="25.5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24.75" thickBot="1" x14ac:dyDescent="0.25">
      <c r="A6" s="53" t="s">
        <v>17</v>
      </c>
      <c r="C6" s="38" t="str">
        <f>+سهام!C6</f>
        <v>1404/10/30</v>
      </c>
      <c r="E6" s="53" t="s">
        <v>5</v>
      </c>
      <c r="F6" s="53" t="s">
        <v>5</v>
      </c>
      <c r="G6" s="53" t="s">
        <v>5</v>
      </c>
      <c r="I6" s="53" t="str">
        <f>+سهام!Q6</f>
        <v>1404/11/30</v>
      </c>
      <c r="J6" s="53" t="s">
        <v>4</v>
      </c>
      <c r="K6" s="53" t="s">
        <v>4</v>
      </c>
    </row>
    <row r="7" spans="1:20" ht="24.75" thickBot="1" x14ac:dyDescent="0.25">
      <c r="A7" s="53" t="s">
        <v>17</v>
      </c>
      <c r="C7" s="38" t="s">
        <v>18</v>
      </c>
      <c r="E7" s="38" t="s">
        <v>19</v>
      </c>
      <c r="G7" s="38" t="s">
        <v>20</v>
      </c>
      <c r="I7" s="38" t="s">
        <v>18</v>
      </c>
      <c r="K7" s="38" t="s">
        <v>21</v>
      </c>
    </row>
    <row r="8" spans="1:20" ht="24" x14ac:dyDescent="0.2">
      <c r="A8" s="27" t="s">
        <v>43</v>
      </c>
      <c r="C8" s="30">
        <v>3888267033</v>
      </c>
      <c r="E8" s="30">
        <v>310421911990</v>
      </c>
      <c r="G8" s="30">
        <v>292838400000</v>
      </c>
      <c r="I8" s="30">
        <f>+C8+E8-G8</f>
        <v>21471779023</v>
      </c>
      <c r="K8" s="41">
        <v>5.0817577469456825E-3</v>
      </c>
    </row>
    <row r="9" spans="1:20" ht="24.75" thickBot="1" x14ac:dyDescent="0.25">
      <c r="A9" s="27" t="s">
        <v>47</v>
      </c>
      <c r="C9" s="30">
        <v>15106384</v>
      </c>
      <c r="E9" s="30">
        <v>9921378</v>
      </c>
      <c r="G9" s="30">
        <v>9904164</v>
      </c>
      <c r="I9" s="30">
        <f t="shared" ref="I9" si="0">+C9+E9-G9</f>
        <v>15123598</v>
      </c>
      <c r="K9" s="41">
        <v>3.5793243408414256E-6</v>
      </c>
    </row>
    <row r="10" spans="1:20" s="27" customFormat="1" ht="24.75" thickBot="1" x14ac:dyDescent="0.25">
      <c r="A10" s="27" t="s">
        <v>15</v>
      </c>
      <c r="C10" s="26">
        <f>SUM(C8:C9)</f>
        <v>3903373417</v>
      </c>
      <c r="E10" s="26">
        <f>SUM(E8:E9)</f>
        <v>310431833368</v>
      </c>
      <c r="G10" s="26">
        <f>SUM(G8:G9)</f>
        <v>292848304164</v>
      </c>
      <c r="I10" s="26">
        <f>SUM(I8:I9)</f>
        <v>21486902621</v>
      </c>
      <c r="K10" s="42">
        <f>SUM(K8:K9)</f>
        <v>5.0853370712865241E-3</v>
      </c>
    </row>
    <row r="11" spans="1:20" ht="23.25" thickTop="1" x14ac:dyDescent="0.2"/>
    <row r="12" spans="1:20" x14ac:dyDescent="0.45">
      <c r="I12" s="37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workbookViewId="0">
      <selection activeCell="C15" sqref="C15"/>
    </sheetView>
  </sheetViews>
  <sheetFormatPr defaultRowHeight="18.75" x14ac:dyDescent="0.45"/>
  <cols>
    <col min="1" max="1" width="20.875" style="28" bestFit="1" customWidth="1"/>
    <col min="2" max="2" width="0.875" style="28" customWidth="1"/>
    <col min="3" max="3" width="20.125" style="28" customWidth="1"/>
    <col min="4" max="4" width="0.875" style="28" customWidth="1"/>
    <col min="5" max="5" width="20.125" style="28" customWidth="1"/>
    <col min="6" max="6" width="0.875" style="28" customWidth="1"/>
    <col min="7" max="7" width="28" style="28" customWidth="1"/>
    <col min="8" max="8" width="0.875" style="28" customWidth="1"/>
    <col min="9" max="9" width="8" style="28" customWidth="1"/>
    <col min="10" max="16384" width="9" style="28"/>
  </cols>
  <sheetData>
    <row r="2" spans="1:7" ht="26.25" x14ac:dyDescent="0.45">
      <c r="A2" s="54" t="str">
        <f>+سهام!A2</f>
        <v>صندوق سرمایه‌گذاری بخشی صنایع مفید - معدن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</row>
    <row r="3" spans="1:7" ht="26.25" x14ac:dyDescent="0.45">
      <c r="A3" s="54" t="s">
        <v>22</v>
      </c>
      <c r="B3" s="54" t="s">
        <v>22</v>
      </c>
      <c r="C3" s="54" t="s">
        <v>22</v>
      </c>
      <c r="D3" s="54" t="s">
        <v>22</v>
      </c>
      <c r="E3" s="54" t="s">
        <v>22</v>
      </c>
      <c r="F3" s="54" t="s">
        <v>22</v>
      </c>
      <c r="G3" s="54" t="s">
        <v>22</v>
      </c>
    </row>
    <row r="4" spans="1:7" ht="26.25" x14ac:dyDescent="0.45">
      <c r="A4" s="54" t="str">
        <f>+سهام!A4</f>
        <v>برای ماه منتهی به 1404/11/30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</row>
    <row r="6" spans="1:7" ht="27" thickBot="1" x14ac:dyDescent="0.5">
      <c r="A6" s="36" t="s">
        <v>26</v>
      </c>
      <c r="C6" s="36" t="s">
        <v>18</v>
      </c>
      <c r="E6" s="36" t="s">
        <v>36</v>
      </c>
      <c r="G6" s="36" t="s">
        <v>13</v>
      </c>
    </row>
    <row r="7" spans="1:7" ht="21" x14ac:dyDescent="0.55000000000000004">
      <c r="A7" s="29" t="s">
        <v>41</v>
      </c>
      <c r="C7" s="8">
        <f>+'درآمد سرمایه‌گذاری در سهام'!I33</f>
        <v>-1100795908010</v>
      </c>
      <c r="D7" s="8"/>
      <c r="E7" s="1">
        <f>+C7/$C$10</f>
        <v>1.0005743992555343</v>
      </c>
      <c r="F7" s="8"/>
      <c r="G7" s="1">
        <v>-0.26052699812827818</v>
      </c>
    </row>
    <row r="8" spans="1:7" ht="21.75" thickBot="1" x14ac:dyDescent="0.6">
      <c r="A8" s="29" t="s">
        <v>42</v>
      </c>
      <c r="C8" s="8">
        <f>+'درآمد سپرده بانکی'!C10</f>
        <v>631933368</v>
      </c>
      <c r="D8" s="8"/>
      <c r="E8" s="1">
        <f t="shared" ref="E8:E9" si="0">+C8/$C$10</f>
        <v>-5.7439925553428065E-4</v>
      </c>
      <c r="F8" s="8"/>
      <c r="G8" s="1">
        <v>1.4956060627056486E-4</v>
      </c>
    </row>
    <row r="9" spans="1:7" ht="21.75" hidden="1" thickBot="1" x14ac:dyDescent="0.6">
      <c r="A9" s="29" t="s">
        <v>77</v>
      </c>
      <c r="C9" s="8">
        <f>+'سایر درآمدها'!C9</f>
        <v>0</v>
      </c>
      <c r="D9" s="8"/>
      <c r="E9" s="1">
        <f t="shared" si="0"/>
        <v>0</v>
      </c>
      <c r="F9" s="8"/>
      <c r="G9" s="1">
        <v>0</v>
      </c>
    </row>
    <row r="10" spans="1:7" s="29" customFormat="1" ht="21.75" thickBot="1" x14ac:dyDescent="0.6">
      <c r="A10" s="29" t="s">
        <v>15</v>
      </c>
      <c r="C10" s="6">
        <f>SUM(C7:C9)</f>
        <v>-1100163974642</v>
      </c>
      <c r="D10" s="5"/>
      <c r="E10" s="7">
        <f>SUM(E7:E9)</f>
        <v>1</v>
      </c>
      <c r="F10" s="5"/>
      <c r="G10" s="13">
        <f>SUM(G7:G9)</f>
        <v>-0.26037743752200759</v>
      </c>
    </row>
    <row r="11" spans="1:7" ht="19.5" thickTop="1" x14ac:dyDescent="0.45"/>
    <row r="12" spans="1:7" x14ac:dyDescent="0.45">
      <c r="G12" s="19"/>
    </row>
    <row r="13" spans="1:7" x14ac:dyDescent="0.45">
      <c r="C13" s="47"/>
      <c r="E13" s="35"/>
      <c r="G13" s="19"/>
    </row>
    <row r="14" spans="1:7" x14ac:dyDescent="0.45">
      <c r="C14" s="63"/>
      <c r="G14" s="19"/>
    </row>
    <row r="15" spans="1:7" x14ac:dyDescent="0.45">
      <c r="C15" s="47"/>
    </row>
    <row r="16" spans="1:7" x14ac:dyDescent="0.45">
      <c r="C16" s="47"/>
      <c r="G16" s="37"/>
    </row>
    <row r="20" spans="5:5" x14ac:dyDescent="0.45">
      <c r="E20" s="28" t="s">
        <v>60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A2" sqref="A2:Y2"/>
    </sheetView>
  </sheetViews>
  <sheetFormatPr defaultRowHeight="18.75" x14ac:dyDescent="0.2"/>
  <cols>
    <col min="1" max="1" width="15" style="2" customWidth="1"/>
    <col min="2" max="2" width="0.875" style="2" customWidth="1"/>
    <col min="3" max="3" width="20.25" style="2" customWidth="1"/>
    <col min="4" max="4" width="0.875" style="2" customWidth="1"/>
    <col min="5" max="5" width="20.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5" t="str">
        <f>+سهام!A2</f>
        <v>صندوق سرمایه‌گذاری بخشی صنایع مفید - معدن</v>
      </c>
      <c r="B2" s="55" t="s">
        <v>0</v>
      </c>
      <c r="C2" s="55" t="s">
        <v>0</v>
      </c>
      <c r="D2" s="55" t="s">
        <v>0</v>
      </c>
      <c r="E2" s="55" t="s">
        <v>0</v>
      </c>
    </row>
    <row r="3" spans="1:5" ht="26.25" x14ac:dyDescent="0.2">
      <c r="A3" s="55" t="s">
        <v>22</v>
      </c>
      <c r="B3" s="55" t="s">
        <v>22</v>
      </c>
      <c r="C3" s="55" t="s">
        <v>22</v>
      </c>
      <c r="D3" s="55" t="s">
        <v>22</v>
      </c>
      <c r="E3" s="55" t="s">
        <v>22</v>
      </c>
    </row>
    <row r="4" spans="1:5" ht="26.25" x14ac:dyDescent="0.2">
      <c r="A4" s="55" t="str">
        <f>+'جمع درآمدها'!A4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</row>
    <row r="5" spans="1:5" ht="26.25" x14ac:dyDescent="0.2">
      <c r="E5" s="46" t="s">
        <v>76</v>
      </c>
    </row>
    <row r="6" spans="1:5" ht="27" thickBot="1" x14ac:dyDescent="0.25">
      <c r="A6" s="56" t="s">
        <v>44</v>
      </c>
      <c r="C6" s="14" t="s">
        <v>24</v>
      </c>
      <c r="E6" s="14" t="s">
        <v>75</v>
      </c>
    </row>
    <row r="7" spans="1:5" ht="27" thickBot="1" x14ac:dyDescent="0.25">
      <c r="A7" s="56" t="s">
        <v>44</v>
      </c>
      <c r="C7" s="14" t="s">
        <v>18</v>
      </c>
      <c r="E7" s="14" t="s">
        <v>18</v>
      </c>
    </row>
    <row r="8" spans="1:5" ht="24.75" thickBot="1" x14ac:dyDescent="0.25">
      <c r="A8" s="9" t="s">
        <v>44</v>
      </c>
      <c r="B8" s="10"/>
      <c r="C8" s="11">
        <v>0</v>
      </c>
      <c r="D8" s="10"/>
      <c r="E8" s="11">
        <v>1090106339</v>
      </c>
    </row>
    <row r="9" spans="1:5" ht="24.75" thickBot="1" x14ac:dyDescent="0.25">
      <c r="A9" s="10" t="s">
        <v>15</v>
      </c>
      <c r="B9" s="10"/>
      <c r="C9" s="12">
        <f>SUM(C8:C8)</f>
        <v>0</v>
      </c>
      <c r="D9" s="10"/>
      <c r="E9" s="12">
        <f>SUM(E8:E8)</f>
        <v>1090106339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34"/>
  <sheetViews>
    <sheetView rightToLeft="1" tabSelected="1" topLeftCell="A10" zoomScale="85" zoomScaleNormal="85" workbookViewId="0">
      <selection activeCell="G29" sqref="G29"/>
    </sheetView>
  </sheetViews>
  <sheetFormatPr defaultRowHeight="18.75" x14ac:dyDescent="0.45"/>
  <cols>
    <col min="1" max="1" width="35.25" style="18" bestFit="1" customWidth="1"/>
    <col min="2" max="2" width="0.875" style="18" customWidth="1"/>
    <col min="3" max="3" width="19.25" style="18" customWidth="1"/>
    <col min="4" max="4" width="0.875" style="18" customWidth="1"/>
    <col min="5" max="5" width="19.25" style="18" customWidth="1"/>
    <col min="6" max="6" width="0.875" style="18" customWidth="1"/>
    <col min="7" max="7" width="19.25" style="18" customWidth="1"/>
    <col min="8" max="8" width="0.875" style="18" customWidth="1"/>
    <col min="9" max="9" width="19.25" style="18" customWidth="1"/>
    <col min="10" max="10" width="0.875" style="18" customWidth="1"/>
    <col min="11" max="11" width="20.125" style="18" customWidth="1"/>
    <col min="12" max="12" width="0.875" style="18" customWidth="1"/>
    <col min="13" max="13" width="19.25" style="18" customWidth="1"/>
    <col min="14" max="14" width="0.875" style="18" customWidth="1"/>
    <col min="15" max="15" width="20.125" style="18" customWidth="1"/>
    <col min="16" max="16" width="0.875" style="18" customWidth="1"/>
    <col min="17" max="17" width="19.25" style="18" customWidth="1"/>
    <col min="18" max="18" width="0.875" style="18" customWidth="1"/>
    <col min="19" max="19" width="20.125" style="18" customWidth="1"/>
    <col min="20" max="20" width="0.875" style="18" customWidth="1"/>
    <col min="21" max="21" width="20.125" style="18" customWidth="1"/>
    <col min="22" max="22" width="0.875" style="18" customWidth="1"/>
    <col min="23" max="23" width="8" style="18" customWidth="1"/>
    <col min="24" max="16384" width="9" style="18"/>
  </cols>
  <sheetData>
    <row r="2" spans="1:21" ht="26.25" x14ac:dyDescent="0.45">
      <c r="A2" s="54" t="str">
        <f>+سهام!A2</f>
        <v>صندوق سرمایه‌گذاری بخشی صنایع مفید - معدن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  <c r="T2" s="54" t="s">
        <v>0</v>
      </c>
      <c r="U2" s="54" t="s">
        <v>0</v>
      </c>
    </row>
    <row r="3" spans="1:21" ht="26.25" x14ac:dyDescent="0.45">
      <c r="A3" s="54" t="s">
        <v>22</v>
      </c>
      <c r="B3" s="54" t="s">
        <v>22</v>
      </c>
      <c r="C3" s="54" t="s">
        <v>22</v>
      </c>
      <c r="D3" s="54" t="s">
        <v>22</v>
      </c>
      <c r="E3" s="54" t="s">
        <v>22</v>
      </c>
      <c r="F3" s="54" t="s">
        <v>22</v>
      </c>
      <c r="G3" s="54" t="s">
        <v>22</v>
      </c>
      <c r="H3" s="54" t="s">
        <v>22</v>
      </c>
      <c r="I3" s="54" t="s">
        <v>22</v>
      </c>
      <c r="J3" s="54" t="s">
        <v>22</v>
      </c>
      <c r="K3" s="54" t="s">
        <v>22</v>
      </c>
      <c r="L3" s="54" t="s">
        <v>22</v>
      </c>
      <c r="M3" s="54" t="s">
        <v>22</v>
      </c>
      <c r="N3" s="54" t="s">
        <v>22</v>
      </c>
      <c r="O3" s="54" t="s">
        <v>22</v>
      </c>
      <c r="P3" s="54" t="s">
        <v>22</v>
      </c>
      <c r="Q3" s="54" t="s">
        <v>22</v>
      </c>
      <c r="R3" s="54" t="s">
        <v>22</v>
      </c>
      <c r="S3" s="54" t="s">
        <v>22</v>
      </c>
      <c r="T3" s="54" t="s">
        <v>22</v>
      </c>
      <c r="U3" s="54" t="s">
        <v>22</v>
      </c>
    </row>
    <row r="4" spans="1:21" ht="26.25" x14ac:dyDescent="0.45">
      <c r="A4" s="54" t="str">
        <f>+سهام!A4</f>
        <v>برای ماه منتهی به 1404/11/30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  <c r="R4" s="54" t="s">
        <v>2</v>
      </c>
      <c r="S4" s="54" t="s">
        <v>2</v>
      </c>
      <c r="T4" s="54" t="s">
        <v>2</v>
      </c>
      <c r="U4" s="54" t="s">
        <v>2</v>
      </c>
    </row>
    <row r="6" spans="1:21" ht="27" thickBot="1" x14ac:dyDescent="0.5">
      <c r="A6" s="57" t="s">
        <v>3</v>
      </c>
      <c r="C6" s="57" t="s">
        <v>24</v>
      </c>
      <c r="D6" s="57" t="s">
        <v>24</v>
      </c>
      <c r="E6" s="57" t="s">
        <v>24</v>
      </c>
      <c r="F6" s="57" t="s">
        <v>24</v>
      </c>
      <c r="G6" s="57" t="s">
        <v>24</v>
      </c>
      <c r="H6" s="57" t="s">
        <v>24</v>
      </c>
      <c r="I6" s="57" t="s">
        <v>24</v>
      </c>
      <c r="J6" s="57" t="s">
        <v>24</v>
      </c>
      <c r="K6" s="57" t="s">
        <v>24</v>
      </c>
      <c r="M6" s="57" t="s">
        <v>25</v>
      </c>
      <c r="N6" s="57" t="s">
        <v>25</v>
      </c>
      <c r="O6" s="57" t="s">
        <v>25</v>
      </c>
      <c r="P6" s="57" t="s">
        <v>25</v>
      </c>
      <c r="Q6" s="57" t="s">
        <v>25</v>
      </c>
      <c r="R6" s="57" t="s">
        <v>25</v>
      </c>
      <c r="S6" s="57" t="s">
        <v>25</v>
      </c>
      <c r="T6" s="57" t="s">
        <v>25</v>
      </c>
      <c r="U6" s="57" t="s">
        <v>25</v>
      </c>
    </row>
    <row r="7" spans="1:21" ht="27" thickBot="1" x14ac:dyDescent="0.5">
      <c r="A7" s="57" t="s">
        <v>3</v>
      </c>
      <c r="C7" s="36" t="s">
        <v>33</v>
      </c>
      <c r="E7" s="36" t="s">
        <v>34</v>
      </c>
      <c r="G7" s="36" t="s">
        <v>35</v>
      </c>
      <c r="I7" s="36" t="s">
        <v>18</v>
      </c>
      <c r="K7" s="36" t="s">
        <v>36</v>
      </c>
      <c r="M7" s="36" t="s">
        <v>33</v>
      </c>
      <c r="O7" s="36" t="s">
        <v>34</v>
      </c>
      <c r="Q7" s="36" t="s">
        <v>35</v>
      </c>
      <c r="S7" s="36" t="s">
        <v>18</v>
      </c>
      <c r="U7" s="36" t="s">
        <v>36</v>
      </c>
    </row>
    <row r="8" spans="1:21" ht="21" x14ac:dyDescent="0.55000000000000004">
      <c r="A8" s="25" t="s">
        <v>48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-54007502647</v>
      </c>
      <c r="F8" s="8"/>
      <c r="G8" s="8">
        <f>IFERROR(VLOOKUP(A8,'درآمد ناشی از فروش'!A:Q,9,0),0)</f>
        <v>1174446816</v>
      </c>
      <c r="H8" s="8"/>
      <c r="I8" s="8">
        <f>+G8+E8+C8</f>
        <v>-52833055831</v>
      </c>
      <c r="J8" s="8"/>
      <c r="K8" s="1">
        <f t="shared" ref="K8:K14" si="0">+I8/$I$33</f>
        <v>4.7995323607725515E-2</v>
      </c>
      <c r="L8" s="8"/>
      <c r="M8" s="8">
        <f>IFERROR(VLOOKUP(A8,'درآمد سود سهام'!A:S,19,0),0)</f>
        <v>0</v>
      </c>
      <c r="N8" s="8"/>
      <c r="O8" s="8">
        <f>IFERROR(VLOOKUP(A8,'درآمد ناشی از تغییر قیمت اوراق'!A:Q,17,0),0)</f>
        <v>-22676289391</v>
      </c>
      <c r="P8" s="8"/>
      <c r="Q8" s="8">
        <f>IFERROR(VLOOKUP(A8,'درآمد ناشی از فروش'!A:Q,17,0),0)</f>
        <v>2222529854</v>
      </c>
      <c r="R8" s="8"/>
      <c r="S8" s="8">
        <f>+Q8+O8+M8</f>
        <v>-20453759537</v>
      </c>
      <c r="T8" s="8"/>
      <c r="U8" s="1">
        <f t="shared" ref="U8:U14" si="1">+S8/$S$33</f>
        <v>3.5164222550962299E-2</v>
      </c>
    </row>
    <row r="9" spans="1:21" ht="21" x14ac:dyDescent="0.55000000000000004">
      <c r="A9" s="25" t="s">
        <v>84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-176599508</v>
      </c>
      <c r="F9" s="8"/>
      <c r="G9" s="8">
        <f>IFERROR(VLOOKUP(A9,'درآمد ناشی از فروش'!A:Q,9,0),0)</f>
        <v>0</v>
      </c>
      <c r="H9" s="8"/>
      <c r="I9" s="8">
        <f t="shared" ref="I9:I32" si="2">+G9+E9+C9</f>
        <v>-176599508</v>
      </c>
      <c r="J9" s="8"/>
      <c r="K9" s="1">
        <f t="shared" si="0"/>
        <v>1.6042892848253186E-4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-176599508</v>
      </c>
      <c r="P9" s="8"/>
      <c r="Q9" s="8">
        <f>IFERROR(VLOOKUP(A9,'درآمد ناشی از فروش'!A:Q,17,0),0)</f>
        <v>0</v>
      </c>
      <c r="R9" s="8"/>
      <c r="S9" s="8">
        <f t="shared" ref="S9:S32" si="3">+Q9+O9+M9</f>
        <v>-176599508</v>
      </c>
      <c r="T9" s="8"/>
      <c r="U9" s="1">
        <f t="shared" si="1"/>
        <v>3.036109029476387E-4</v>
      </c>
    </row>
    <row r="10" spans="1:21" ht="21" x14ac:dyDescent="0.55000000000000004">
      <c r="A10" s="25" t="s">
        <v>68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-591639935</v>
      </c>
      <c r="F10" s="8"/>
      <c r="G10" s="8">
        <f>IFERROR(VLOOKUP(A10,'درآمد ناشی از فروش'!A:Q,9,0),0)</f>
        <v>0</v>
      </c>
      <c r="H10" s="8"/>
      <c r="I10" s="8">
        <f t="shared" ref="I10:I14" si="4">+G10+E10+C10</f>
        <v>-591639935</v>
      </c>
      <c r="J10" s="8"/>
      <c r="K10" s="1">
        <f t="shared" si="0"/>
        <v>5.3746560165685616E-4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-636292006</v>
      </c>
      <c r="P10" s="8"/>
      <c r="Q10" s="8">
        <f>IFERROR(VLOOKUP(A10,'درآمد ناشی از فروش'!A:Q,17,0),0)</f>
        <v>0</v>
      </c>
      <c r="R10" s="8"/>
      <c r="S10" s="8">
        <f t="shared" ref="S10:S14" si="5">+Q10+O10+M10</f>
        <v>-636292006</v>
      </c>
      <c r="T10" s="8"/>
      <c r="U10" s="1">
        <f t="shared" si="1"/>
        <v>1.0939169234832995E-3</v>
      </c>
    </row>
    <row r="11" spans="1:21" ht="21" x14ac:dyDescent="0.55000000000000004">
      <c r="A11" s="25" t="s">
        <v>66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-4003809450</v>
      </c>
      <c r="F11" s="8"/>
      <c r="G11" s="8">
        <f>IFERROR(VLOOKUP(A11,'درآمد ناشی از فروش'!A:Q,9,0),0)</f>
        <v>0</v>
      </c>
      <c r="H11" s="8"/>
      <c r="I11" s="8">
        <f t="shared" si="4"/>
        <v>-4003809450</v>
      </c>
      <c r="J11" s="8"/>
      <c r="K11" s="1">
        <f t="shared" si="0"/>
        <v>3.6371950702814822E-3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-2832930850</v>
      </c>
      <c r="P11" s="8"/>
      <c r="Q11" s="8">
        <f>IFERROR(VLOOKUP(A11,'درآمد ناشی از فروش'!A:Q,17,0),0)</f>
        <v>0</v>
      </c>
      <c r="R11" s="8"/>
      <c r="S11" s="8">
        <f t="shared" si="5"/>
        <v>-2832930850</v>
      </c>
      <c r="T11" s="8"/>
      <c r="U11" s="1">
        <f t="shared" si="1"/>
        <v>4.8703912207769097E-3</v>
      </c>
    </row>
    <row r="12" spans="1:21" ht="21" x14ac:dyDescent="0.55000000000000004">
      <c r="A12" s="25" t="s">
        <v>86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0</v>
      </c>
      <c r="F12" s="8"/>
      <c r="G12" s="8">
        <f>IFERROR(VLOOKUP(A12,'درآمد ناشی از فروش'!A:Q,9,0),0)</f>
        <v>77326341</v>
      </c>
      <c r="H12" s="8"/>
      <c r="I12" s="8">
        <f t="shared" si="4"/>
        <v>77326341</v>
      </c>
      <c r="J12" s="8"/>
      <c r="K12" s="1">
        <f t="shared" si="0"/>
        <v>-7.0245847061504099E-5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0</v>
      </c>
      <c r="P12" s="8"/>
      <c r="Q12" s="8">
        <f>IFERROR(VLOOKUP(A12,'درآمد ناشی از فروش'!A:Q,17,0),0)</f>
        <v>77326341</v>
      </c>
      <c r="R12" s="8"/>
      <c r="S12" s="8">
        <f t="shared" si="5"/>
        <v>77326341</v>
      </c>
      <c r="T12" s="8"/>
      <c r="U12" s="1">
        <f t="shared" si="1"/>
        <v>-1.3293989591775656E-4</v>
      </c>
    </row>
    <row r="13" spans="1:21" ht="21" x14ac:dyDescent="0.55000000000000004">
      <c r="A13" s="25" t="s">
        <v>67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-10707982478</v>
      </c>
      <c r="F13" s="8"/>
      <c r="G13" s="8">
        <f>IFERROR(VLOOKUP(A13,'درآمد ناشی از فروش'!A:Q,9,0),0)</f>
        <v>3207165502</v>
      </c>
      <c r="H13" s="8"/>
      <c r="I13" s="8">
        <f t="shared" si="4"/>
        <v>-7500816976</v>
      </c>
      <c r="J13" s="8"/>
      <c r="K13" s="1">
        <f t="shared" si="0"/>
        <v>6.8139942394588367E-3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12997347822</v>
      </c>
      <c r="P13" s="8"/>
      <c r="Q13" s="8">
        <f>IFERROR(VLOOKUP(A13,'درآمد ناشی از فروش'!A:Q,17,0),0)</f>
        <v>3207165502</v>
      </c>
      <c r="R13" s="8"/>
      <c r="S13" s="8">
        <f t="shared" si="5"/>
        <v>16204513324</v>
      </c>
      <c r="T13" s="8"/>
      <c r="U13" s="1">
        <f t="shared" si="1"/>
        <v>-2.785889370726153E-2</v>
      </c>
    </row>
    <row r="14" spans="1:21" ht="21" x14ac:dyDescent="0.55000000000000004">
      <c r="A14" s="25" t="s">
        <v>69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-21893197214</v>
      </c>
      <c r="F14" s="8"/>
      <c r="G14" s="8">
        <f>IFERROR(VLOOKUP(A14,'درآمد ناشی از فروش'!A:Q,9,0),0)</f>
        <v>1350727545</v>
      </c>
      <c r="H14" s="8"/>
      <c r="I14" s="8">
        <f t="shared" si="4"/>
        <v>-20542469669</v>
      </c>
      <c r="J14" s="8"/>
      <c r="K14" s="1">
        <f t="shared" si="0"/>
        <v>1.8661469868775517E-2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14870406286</v>
      </c>
      <c r="P14" s="8"/>
      <c r="Q14" s="8">
        <f>IFERROR(VLOOKUP(A14,'درآمد ناشی از فروش'!A:Q,17,0),0)</f>
        <v>1350727545</v>
      </c>
      <c r="R14" s="8"/>
      <c r="S14" s="8">
        <f t="shared" si="5"/>
        <v>16221133831</v>
      </c>
      <c r="T14" s="8"/>
      <c r="U14" s="1">
        <f t="shared" si="1"/>
        <v>-2.7887467779719975E-2</v>
      </c>
    </row>
    <row r="15" spans="1:21" ht="21" x14ac:dyDescent="0.55000000000000004">
      <c r="A15" s="25" t="s">
        <v>73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-4364033228</v>
      </c>
      <c r="F15" s="8"/>
      <c r="G15" s="8">
        <f>IFERROR(VLOOKUP(A15,'درآمد ناشی از فروش'!A:Q,9,0),0)</f>
        <v>0</v>
      </c>
      <c r="H15" s="8"/>
      <c r="I15" s="8">
        <f t="shared" ref="I15:I20" si="6">+G15+E15+C15</f>
        <v>-4364033228</v>
      </c>
      <c r="J15" s="8"/>
      <c r="K15" s="1">
        <f t="shared" ref="K15:K20" si="7">+I15/$I$33</f>
        <v>3.9644344571458526E-3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-6338819213</v>
      </c>
      <c r="P15" s="8"/>
      <c r="Q15" s="8">
        <f>IFERROR(VLOOKUP(A15,'درآمد ناشی از فروش'!A:Q,17,0),0)</f>
        <v>0</v>
      </c>
      <c r="R15" s="8"/>
      <c r="S15" s="8">
        <f t="shared" ref="S15:S20" si="8">+Q15+O15+M15</f>
        <v>-6338819213</v>
      </c>
      <c r="T15" s="8"/>
      <c r="U15" s="1">
        <f t="shared" ref="U15:U20" si="9">+S15/$S$33</f>
        <v>1.0897734918269255E-2</v>
      </c>
    </row>
    <row r="16" spans="1:21" ht="21" x14ac:dyDescent="0.55000000000000004">
      <c r="A16" s="25" t="s">
        <v>74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6"/>
        <v>0</v>
      </c>
      <c r="J16" s="8"/>
      <c r="K16" s="1">
        <f t="shared" si="7"/>
        <v>0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98234736</v>
      </c>
      <c r="R16" s="8"/>
      <c r="S16" s="8">
        <f t="shared" si="8"/>
        <v>98234736</v>
      </c>
      <c r="T16" s="8"/>
      <c r="U16" s="1">
        <f t="shared" si="9"/>
        <v>-1.6888573040522235E-4</v>
      </c>
    </row>
    <row r="17" spans="1:21" ht="21" x14ac:dyDescent="0.55000000000000004">
      <c r="A17" s="25" t="s">
        <v>71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-5971480860</v>
      </c>
      <c r="F17" s="8"/>
      <c r="G17" s="8">
        <f>IFERROR(VLOOKUP(A17,'درآمد ناشی از فروش'!A:Q,9,0),0)</f>
        <v>0</v>
      </c>
      <c r="H17" s="8"/>
      <c r="I17" s="8">
        <f t="shared" si="6"/>
        <v>-5971480860</v>
      </c>
      <c r="J17" s="8"/>
      <c r="K17" s="1">
        <f t="shared" si="7"/>
        <v>5.4246939115127537E-3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95254759</v>
      </c>
      <c r="P17" s="8"/>
      <c r="Q17" s="8">
        <f>IFERROR(VLOOKUP(A17,'درآمد ناشی از فروش'!A:Q,17,0),0)</f>
        <v>0</v>
      </c>
      <c r="R17" s="8"/>
      <c r="S17" s="8">
        <f t="shared" si="8"/>
        <v>95254759</v>
      </c>
      <c r="T17" s="8"/>
      <c r="U17" s="1">
        <f t="shared" si="9"/>
        <v>-1.6376253658673676E-4</v>
      </c>
    </row>
    <row r="18" spans="1:21" ht="21" x14ac:dyDescent="0.55000000000000004">
      <c r="A18" s="25" t="s">
        <v>70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-3406034652</v>
      </c>
      <c r="F18" s="8"/>
      <c r="G18" s="8">
        <f>IFERROR(VLOOKUP(A18,'درآمد ناشی از فروش'!A:Q,9,0),0)</f>
        <v>-36436152</v>
      </c>
      <c r="H18" s="8"/>
      <c r="I18" s="8">
        <f t="shared" si="6"/>
        <v>-3442470804</v>
      </c>
      <c r="J18" s="8"/>
      <c r="K18" s="1">
        <f t="shared" si="7"/>
        <v>3.127256177962398E-3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-2137516684</v>
      </c>
      <c r="P18" s="8"/>
      <c r="Q18" s="8">
        <f>IFERROR(VLOOKUP(A18,'درآمد ناشی از فروش'!A:Q,17,0),0)</f>
        <v>-36436152</v>
      </c>
      <c r="R18" s="8"/>
      <c r="S18" s="8">
        <f t="shared" si="8"/>
        <v>-2173952836</v>
      </c>
      <c r="T18" s="8"/>
      <c r="U18" s="1">
        <f t="shared" si="9"/>
        <v>3.7374723801809227E-3</v>
      </c>
    </row>
    <row r="19" spans="1:21" ht="21" x14ac:dyDescent="0.55000000000000004">
      <c r="A19" s="25" t="s">
        <v>72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0</v>
      </c>
      <c r="F19" s="8"/>
      <c r="G19" s="8">
        <f>IFERROR(VLOOKUP(A19,'درآمد ناشی از فروش'!A:Q,9,0),0)</f>
        <v>0</v>
      </c>
      <c r="H19" s="8"/>
      <c r="I19" s="8">
        <f t="shared" si="6"/>
        <v>0</v>
      </c>
      <c r="J19" s="8"/>
      <c r="K19" s="1">
        <f t="shared" si="7"/>
        <v>0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0</v>
      </c>
      <c r="P19" s="8"/>
      <c r="Q19" s="8">
        <f>IFERROR(VLOOKUP(A19,'درآمد ناشی از فروش'!A:Q,17,0),0)</f>
        <v>45047935</v>
      </c>
      <c r="R19" s="8"/>
      <c r="S19" s="8">
        <f t="shared" si="8"/>
        <v>45047935</v>
      </c>
      <c r="T19" s="8"/>
      <c r="U19" s="1">
        <f t="shared" si="9"/>
        <v>-7.744667228221574E-5</v>
      </c>
    </row>
    <row r="20" spans="1:21" ht="21" x14ac:dyDescent="0.55000000000000004">
      <c r="A20" s="25" t="s">
        <v>52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-94890738939</v>
      </c>
      <c r="F20" s="8"/>
      <c r="G20" s="8">
        <f>IFERROR(VLOOKUP(A20,'درآمد ناشی از فروش'!A:Q,9,0),0)</f>
        <v>-5290348205</v>
      </c>
      <c r="H20" s="8"/>
      <c r="I20" s="8">
        <f t="shared" si="6"/>
        <v>-100181087144</v>
      </c>
      <c r="J20" s="8"/>
      <c r="K20" s="1">
        <f t="shared" si="7"/>
        <v>9.1007866594549444E-2</v>
      </c>
      <c r="L20" s="8"/>
      <c r="M20" s="8">
        <f>IFERROR(VLOOKUP(A20,'درآمد سود سهام'!A:S,19,0),0)</f>
        <v>0</v>
      </c>
      <c r="N20" s="8"/>
      <c r="O20" s="8">
        <f>IFERROR(VLOOKUP(A20,'درآمد ناشی از تغییر قیمت اوراق'!A:Q,17,0),0)</f>
        <v>-105280598114</v>
      </c>
      <c r="P20" s="8"/>
      <c r="Q20" s="8">
        <f>IFERROR(VLOOKUP(A20,'درآمد ناشی از فروش'!A:Q,17,0),0)</f>
        <v>-5242220330</v>
      </c>
      <c r="R20" s="8"/>
      <c r="S20" s="8">
        <f t="shared" si="8"/>
        <v>-110522818444</v>
      </c>
      <c r="T20" s="8"/>
      <c r="U20" s="1">
        <f t="shared" si="9"/>
        <v>0.19001147332811807</v>
      </c>
    </row>
    <row r="21" spans="1:21" ht="21" x14ac:dyDescent="0.55000000000000004">
      <c r="A21" s="25" t="s">
        <v>50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-53041542696</v>
      </c>
      <c r="F21" s="8"/>
      <c r="G21" s="8">
        <f>IFERROR(VLOOKUP(A21,'درآمد ناشی از فروش'!A:Q,9,0),0)</f>
        <v>-603989522</v>
      </c>
      <c r="H21" s="8"/>
      <c r="I21" s="8">
        <f t="shared" si="2"/>
        <v>-53645532218</v>
      </c>
      <c r="J21" s="8"/>
      <c r="K21" s="1">
        <f>+I21/$I$33</f>
        <v>4.8733404464574616E-2</v>
      </c>
      <c r="L21" s="8"/>
      <c r="M21" s="8">
        <f>IFERROR(VLOOKUP(A21,'درآمد سود سهام'!A:S,19,0),0)</f>
        <v>0</v>
      </c>
      <c r="N21" s="8"/>
      <c r="O21" s="8">
        <f>IFERROR(VLOOKUP(A21,'درآمد ناشی از تغییر قیمت اوراق'!A:Q,17,0),0)</f>
        <v>-20267406013</v>
      </c>
      <c r="P21" s="8"/>
      <c r="Q21" s="8">
        <f>IFERROR(VLOOKUP(A21,'درآمد ناشی از فروش'!A:Q,17,0),0)</f>
        <v>-603989522</v>
      </c>
      <c r="R21" s="8"/>
      <c r="S21" s="8">
        <f t="shared" si="3"/>
        <v>-20871395535</v>
      </c>
      <c r="T21" s="8"/>
      <c r="U21" s="1">
        <f>+S21/$S$33</f>
        <v>3.5882224791694575E-2</v>
      </c>
    </row>
    <row r="22" spans="1:21" ht="21" x14ac:dyDescent="0.55000000000000004">
      <c r="A22" s="25" t="s">
        <v>64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-20837670000</v>
      </c>
      <c r="F22" s="8"/>
      <c r="G22" s="8">
        <f>IFERROR(VLOOKUP(A22,'درآمد ناشی از فروش'!A:Q,9,0),0)</f>
        <v>194484974</v>
      </c>
      <c r="H22" s="8"/>
      <c r="I22" s="8">
        <f t="shared" si="2"/>
        <v>-20643185026</v>
      </c>
      <c r="J22" s="8"/>
      <c r="K22" s="1">
        <f>+I22/$I$33</f>
        <v>1.8752963084063781E-2</v>
      </c>
      <c r="L22" s="8"/>
      <c r="M22" s="8">
        <f>IFERROR(VLOOKUP(A22,'درآمد سود سهام'!A:S,19,0),0)</f>
        <v>0</v>
      </c>
      <c r="N22" s="8"/>
      <c r="O22" s="8">
        <f>IFERROR(VLOOKUP(A22,'درآمد ناشی از تغییر قیمت اوراق'!A:Q,17,0),0)</f>
        <v>10557752800</v>
      </c>
      <c r="P22" s="8"/>
      <c r="Q22" s="8">
        <f>IFERROR(VLOOKUP(A22,'درآمد ناشی از فروش'!A:Q,17,0),0)</f>
        <v>194484974</v>
      </c>
      <c r="R22" s="8"/>
      <c r="S22" s="8">
        <f t="shared" ref="S22:S28" si="10">+Q22+O22+M22</f>
        <v>10752237774</v>
      </c>
      <c r="T22" s="8"/>
      <c r="U22" s="1">
        <f>+S22/$S$33</f>
        <v>-1.8485309819050281E-2</v>
      </c>
    </row>
    <row r="23" spans="1:21" ht="21" x14ac:dyDescent="0.55000000000000004">
      <c r="A23" s="25" t="s">
        <v>61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-50613663699</v>
      </c>
      <c r="F23" s="8"/>
      <c r="G23" s="8">
        <f>IFERROR(VLOOKUP(A23,'درآمد ناشی از فروش'!A:Q,9,0),0)</f>
        <v>-3784925550</v>
      </c>
      <c r="H23" s="8"/>
      <c r="I23" s="8">
        <f t="shared" si="2"/>
        <v>-54398589249</v>
      </c>
      <c r="J23" s="8"/>
      <c r="K23" s="1">
        <f>+I23/$I$33</f>
        <v>4.9417506781380426E-2</v>
      </c>
      <c r="L23" s="8"/>
      <c r="M23" s="8">
        <f>IFERROR(VLOOKUP(A23,'درآمد سود سهام'!A:S,19,0),0)</f>
        <v>26725763456</v>
      </c>
      <c r="N23" s="8"/>
      <c r="O23" s="8">
        <f>IFERROR(VLOOKUP(A23,'درآمد ناشی از تغییر قیمت اوراق'!A:Q,17,0),0)</f>
        <v>-84159242623</v>
      </c>
      <c r="P23" s="8"/>
      <c r="Q23" s="8">
        <f>IFERROR(VLOOKUP(A23,'درآمد ناشی از فروش'!A:Q,17,0),0)</f>
        <v>-3784925550</v>
      </c>
      <c r="R23" s="8"/>
      <c r="S23" s="8">
        <f t="shared" si="10"/>
        <v>-61218404717</v>
      </c>
      <c r="T23" s="8"/>
      <c r="U23" s="1">
        <f>+S23/$S$33</f>
        <v>0.10524703802199921</v>
      </c>
    </row>
    <row r="24" spans="1:21" ht="21" x14ac:dyDescent="0.55000000000000004">
      <c r="A24" s="25" t="s">
        <v>81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-2172656960</v>
      </c>
      <c r="F24" s="8"/>
      <c r="G24" s="8">
        <f>IFERROR(VLOOKUP(A24,'درآمد ناشی از فروش'!A:Q,9,0),0)</f>
        <v>1765106381</v>
      </c>
      <c r="H24" s="8"/>
      <c r="I24" s="8">
        <f t="shared" ref="I24:I25" si="11">+G24+E24+C24</f>
        <v>-407550579</v>
      </c>
      <c r="J24" s="8"/>
      <c r="K24" s="1">
        <f t="shared" ref="K24:K25" si="12">+I24/$I$33</f>
        <v>3.7023264352132538E-4</v>
      </c>
      <c r="L24" s="8"/>
      <c r="M24" s="8">
        <f>IFERROR(VLOOKUP(A24,'درآمد سود سهام'!A:S,19,0),0)</f>
        <v>0</v>
      </c>
      <c r="N24" s="8"/>
      <c r="O24" s="8">
        <f>IFERROR(VLOOKUP(A24,'درآمد ناشی از تغییر قیمت اوراق'!A:Q,17,0),0)</f>
        <v>101434485</v>
      </c>
      <c r="P24" s="8"/>
      <c r="Q24" s="8">
        <f>IFERROR(VLOOKUP(A24,'درآمد ناشی از فروش'!A:Q,17,0),0)</f>
        <v>1765106381</v>
      </c>
      <c r="R24" s="8"/>
      <c r="S24" s="8">
        <f t="shared" ref="S24:S25" si="13">+Q24+O24+M24</f>
        <v>1866540866</v>
      </c>
      <c r="T24" s="8"/>
      <c r="U24" s="1">
        <f t="shared" ref="U24:U25" si="14">+S24/$S$33</f>
        <v>-3.2089679305048091E-3</v>
      </c>
    </row>
    <row r="25" spans="1:21" ht="21" x14ac:dyDescent="0.55000000000000004">
      <c r="A25" s="25" t="s">
        <v>79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0</v>
      </c>
      <c r="F25" s="8"/>
      <c r="G25" s="8">
        <f>IFERROR(VLOOKUP(A25,'درآمد ناشی از فروش'!A:Q,9,0),0)</f>
        <v>3150369032</v>
      </c>
      <c r="H25" s="8"/>
      <c r="I25" s="8">
        <f t="shared" si="11"/>
        <v>3150369032</v>
      </c>
      <c r="J25" s="8"/>
      <c r="K25" s="1">
        <f t="shared" si="12"/>
        <v>-2.8619011108927386E-3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0</v>
      </c>
      <c r="P25" s="8"/>
      <c r="Q25" s="8">
        <f>IFERROR(VLOOKUP(A25,'درآمد ناشی از فروش'!A:Q,17,0),0)</f>
        <v>3150369032</v>
      </c>
      <c r="R25" s="8"/>
      <c r="S25" s="8">
        <f t="shared" si="13"/>
        <v>3150369032</v>
      </c>
      <c r="T25" s="8"/>
      <c r="U25" s="1">
        <f t="shared" si="14"/>
        <v>-5.4161327925318931E-3</v>
      </c>
    </row>
    <row r="26" spans="1:21" ht="21" x14ac:dyDescent="0.55000000000000004">
      <c r="A26" s="25" t="s">
        <v>80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-4490819629</v>
      </c>
      <c r="F26" s="8"/>
      <c r="G26" s="8">
        <f>IFERROR(VLOOKUP(A26,'درآمد ناشی از فروش'!A:Q,9,0),0)</f>
        <v>0</v>
      </c>
      <c r="H26" s="8"/>
      <c r="I26" s="8">
        <f t="shared" ref="I26" si="15">+G26+E26+C26</f>
        <v>-4490819629</v>
      </c>
      <c r="J26" s="8"/>
      <c r="K26" s="1">
        <f>+I26/$I$33</f>
        <v>4.0796114850376094E-3</v>
      </c>
      <c r="L26" s="8"/>
      <c r="M26" s="8">
        <f>IFERROR(VLOOKUP(A26,'درآمد سود سهام'!A:S,19,0),0)</f>
        <v>2400000000</v>
      </c>
      <c r="N26" s="8"/>
      <c r="O26" s="8">
        <f>IFERROR(VLOOKUP(A26,'درآمد ناشی از تغییر قیمت اوراق'!A:Q,17,0),0)</f>
        <v>-2604579203</v>
      </c>
      <c r="P26" s="8"/>
      <c r="Q26" s="8">
        <f>IFERROR(VLOOKUP(A26,'درآمد ناشی از فروش'!A:Q,17,0),0)</f>
        <v>0</v>
      </c>
      <c r="R26" s="8"/>
      <c r="S26" s="8">
        <f t="shared" ref="S26" si="16">+Q26+O26+M26</f>
        <v>-204579203</v>
      </c>
      <c r="T26" s="8"/>
      <c r="U26" s="1">
        <f>+S26/$S$33</f>
        <v>3.5171375758950743E-4</v>
      </c>
    </row>
    <row r="27" spans="1:21" ht="21" x14ac:dyDescent="0.55000000000000004">
      <c r="A27" s="25" t="s">
        <v>49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-450093672000</v>
      </c>
      <c r="F27" s="8"/>
      <c r="G27" s="8">
        <f>IFERROR(VLOOKUP(A27,'درآمد ناشی از فروش'!A:Q,9,0),0)</f>
        <v>0</v>
      </c>
      <c r="H27" s="8"/>
      <c r="I27" s="8">
        <f t="shared" si="2"/>
        <v>-450093672000</v>
      </c>
      <c r="J27" s="8"/>
      <c r="K27" s="1">
        <f t="shared" ref="K27" si="17">+I27/$I$33</f>
        <v>0.40888021905320454</v>
      </c>
      <c r="L27" s="8"/>
      <c r="M27" s="8">
        <f>IFERROR(VLOOKUP(A27,'درآمد سود سهام'!A:S,19,0),0)</f>
        <v>0</v>
      </c>
      <c r="N27" s="8"/>
      <c r="O27" s="8">
        <f>IFERROR(VLOOKUP(A27,'درآمد ناشی از تغییر قیمت اوراق'!A:Q,17,0),0)</f>
        <v>-276173534543</v>
      </c>
      <c r="P27" s="8"/>
      <c r="Q27" s="8">
        <f>IFERROR(VLOOKUP(A27,'درآمد ناشی از فروش'!A:Q,17,0),0)</f>
        <v>0</v>
      </c>
      <c r="R27" s="8"/>
      <c r="S27" s="8">
        <f t="shared" ref="S27" si="18">+Q27+O27+M27</f>
        <v>-276173534543</v>
      </c>
      <c r="T27" s="8"/>
      <c r="U27" s="1">
        <f t="shared" ref="U27" si="19">+S27/$S$33</f>
        <v>0.4747991494565269</v>
      </c>
    </row>
    <row r="28" spans="1:21" ht="21" x14ac:dyDescent="0.55000000000000004">
      <c r="A28" s="25" t="s">
        <v>62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-12041696522</v>
      </c>
      <c r="F28" s="8"/>
      <c r="G28" s="8">
        <f>IFERROR(VLOOKUP(A28,'درآمد ناشی از فروش'!A:Q,9,0),0)</f>
        <v>-202548872</v>
      </c>
      <c r="H28" s="8"/>
      <c r="I28" s="8">
        <f t="shared" si="2"/>
        <v>-12244245394</v>
      </c>
      <c r="J28" s="8"/>
      <c r="K28" s="1">
        <f>+I28/$I$33</f>
        <v>1.1123084038470798E-2</v>
      </c>
      <c r="L28" s="8"/>
      <c r="M28" s="8">
        <f>IFERROR(VLOOKUP(A28,'درآمد سود سهام'!A:S,19,0),0)</f>
        <v>0</v>
      </c>
      <c r="N28" s="8"/>
      <c r="O28" s="8">
        <f>IFERROR(VLOOKUP(A28,'درآمد ناشی از تغییر قیمت اوراق'!A:Q,17,0),0)</f>
        <v>-4802806369</v>
      </c>
      <c r="P28" s="8"/>
      <c r="Q28" s="8">
        <f>IFERROR(VLOOKUP(A28,'درآمد ناشی از فروش'!A:Q,17,0),0)</f>
        <v>-202548872</v>
      </c>
      <c r="R28" s="8"/>
      <c r="S28" s="8">
        <f t="shared" si="10"/>
        <v>-5005355241</v>
      </c>
      <c r="T28" s="8"/>
      <c r="U28" s="1">
        <f>+S28/$S$33</f>
        <v>8.6052358894097587E-3</v>
      </c>
    </row>
    <row r="29" spans="1:21" ht="21" x14ac:dyDescent="0.55000000000000004">
      <c r="A29" s="25" t="s">
        <v>63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0</v>
      </c>
      <c r="F29" s="8"/>
      <c r="G29" s="8">
        <f>IFERROR(VLOOKUP(A29,'درآمد ناشی از فروش'!A:Q,9,0),0)</f>
        <v>-9285143490</v>
      </c>
      <c r="H29" s="8"/>
      <c r="I29" s="8">
        <f t="shared" si="2"/>
        <v>-9285143490</v>
      </c>
      <c r="J29" s="8"/>
      <c r="K29" s="1">
        <f>+I29/$I$33</f>
        <v>8.4349364150394807E-3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0</v>
      </c>
      <c r="P29" s="8"/>
      <c r="Q29" s="8">
        <f>IFERROR(VLOOKUP(A29,'درآمد ناشی از فروش'!A:Q,17,0),0)</f>
        <v>-9285143490</v>
      </c>
      <c r="R29" s="8"/>
      <c r="S29" s="8">
        <f t="shared" si="3"/>
        <v>-9285143490</v>
      </c>
      <c r="T29" s="8"/>
      <c r="U29" s="1">
        <f>+S29/$S$33</f>
        <v>1.5963072779326709E-2</v>
      </c>
    </row>
    <row r="30" spans="1:21" ht="21" x14ac:dyDescent="0.55000000000000004">
      <c r="A30" s="25" t="s">
        <v>65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-36271306196</v>
      </c>
      <c r="F30" s="8"/>
      <c r="G30" s="8">
        <f>IFERROR(VLOOKUP(A30,'درآمد ناشی از فروش'!A:Q,9,0),0)</f>
        <v>0</v>
      </c>
      <c r="H30" s="8"/>
      <c r="I30" s="8">
        <f t="shared" si="2"/>
        <v>-36271306196</v>
      </c>
      <c r="J30" s="8"/>
      <c r="K30" s="1">
        <f>+I30/$I$33</f>
        <v>3.2950073607714118E-2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-25984957983</v>
      </c>
      <c r="P30" s="8"/>
      <c r="Q30" s="8">
        <f>IFERROR(VLOOKUP(A30,'درآمد ناشی از فروش'!A:Q,17,0),0)</f>
        <v>0</v>
      </c>
      <c r="R30" s="8"/>
      <c r="S30" s="8">
        <f t="shared" si="3"/>
        <v>-25984957983</v>
      </c>
      <c r="T30" s="8"/>
      <c r="U30" s="1">
        <f>+S30/$S$33</f>
        <v>4.4673491141748158E-2</v>
      </c>
    </row>
    <row r="31" spans="1:21" ht="21" x14ac:dyDescent="0.55000000000000004">
      <c r="A31" s="25" t="s">
        <v>51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-114304316859</v>
      </c>
      <c r="F31" s="8"/>
      <c r="G31" s="8">
        <f>IFERROR(VLOOKUP(A31,'درآمد ناشی از فروش'!A:Q,9,0),0)</f>
        <v>-543420040</v>
      </c>
      <c r="H31" s="8"/>
      <c r="I31" s="8">
        <f t="shared" si="2"/>
        <v>-114847736899</v>
      </c>
      <c r="J31" s="8"/>
      <c r="K31" s="1">
        <f>+I31/$I$33</f>
        <v>0.10433154417027202</v>
      </c>
      <c r="L31" s="8"/>
      <c r="M31" s="8">
        <f>IFERROR(VLOOKUP(A31,'درآمد سود سهام'!A:S,19,0),0)</f>
        <v>0</v>
      </c>
      <c r="N31" s="8"/>
      <c r="O31" s="8">
        <f>IFERROR(VLOOKUP(A31,'درآمد ناشی از تغییر قیمت اوراق'!A:Q,17,0),0)</f>
        <v>-82958507586</v>
      </c>
      <c r="P31" s="8"/>
      <c r="Q31" s="8">
        <f>IFERROR(VLOOKUP(A31,'درآمد ناشی از فروش'!A:Q,17,0),0)</f>
        <v>-463497829</v>
      </c>
      <c r="R31" s="8"/>
      <c r="S31" s="8">
        <f t="shared" si="3"/>
        <v>-83422005415</v>
      </c>
      <c r="T31" s="8"/>
      <c r="U31" s="1">
        <f>+S31/$S$33</f>
        <v>0.14341959769078719</v>
      </c>
    </row>
    <row r="32" spans="1:21" ht="21.75" thickBot="1" x14ac:dyDescent="0.6">
      <c r="A32" s="25" t="s">
        <v>46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-148235215302</v>
      </c>
      <c r="F32" s="8"/>
      <c r="G32" s="8">
        <f>IFERROR(VLOOKUP(A32,'درآمد ناشی از فروش'!A:Q,9,0),0)</f>
        <v>146856004</v>
      </c>
      <c r="H32" s="8"/>
      <c r="I32" s="8">
        <f t="shared" si="2"/>
        <v>-148088359298</v>
      </c>
      <c r="J32" s="8"/>
      <c r="K32" s="1">
        <f>+I32/$I$33</f>
        <v>0.13452844275712433</v>
      </c>
      <c r="L32" s="8"/>
      <c r="M32" s="8">
        <f>IFERROR(VLOOKUP(A32,'درآمد سود سهام'!A:S,19,0),0)</f>
        <v>0</v>
      </c>
      <c r="N32" s="8"/>
      <c r="O32" s="8">
        <f>IFERROR(VLOOKUP(A32,'درآمد ناشی از تغییر قیمت اوراق'!A:Q,17,0),0)</f>
        <v>-5020886202</v>
      </c>
      <c r="P32" s="8"/>
      <c r="Q32" s="8">
        <f>IFERROR(VLOOKUP(A32,'درآمد ناشی از فروش'!A:Q,17,0),0)</f>
        <v>146856004</v>
      </c>
      <c r="R32" s="8"/>
      <c r="S32" s="8">
        <f t="shared" si="3"/>
        <v>-4874030198</v>
      </c>
      <c r="T32" s="8"/>
      <c r="U32" s="1">
        <f>+S32/$S$33</f>
        <v>8.3794611104400039E-3</v>
      </c>
    </row>
    <row r="33" spans="1:21" s="5" customFormat="1" ht="26.25" customHeight="1" thickBot="1" x14ac:dyDescent="0.25">
      <c r="A33" s="5" t="s">
        <v>15</v>
      </c>
      <c r="C33" s="6">
        <f>SUM(C8:C32)</f>
        <v>0</v>
      </c>
      <c r="E33" s="6">
        <f>SUM(E8:E32)</f>
        <v>-1092115578774</v>
      </c>
      <c r="G33" s="6">
        <f>SUM(G8:G32)</f>
        <v>-8680329236</v>
      </c>
      <c r="I33" s="6">
        <f>SUM(I8:I32)</f>
        <v>-1100795908010</v>
      </c>
      <c r="K33" s="7">
        <f>SUM(K8:K32)</f>
        <v>1</v>
      </c>
      <c r="M33" s="6">
        <f>SUM(M8:M32)</f>
        <v>29125763456</v>
      </c>
      <c r="O33" s="6">
        <f>SUM(O8:O32)</f>
        <v>-603428770136</v>
      </c>
      <c r="Q33" s="6">
        <f>SUM(Q8:Q32)</f>
        <v>-7360913441</v>
      </c>
      <c r="S33" s="6">
        <f>SUM(S8:S32)</f>
        <v>-581663920121</v>
      </c>
      <c r="U33" s="7">
        <f>SUM(U8:U32)</f>
        <v>0.99999999999999989</v>
      </c>
    </row>
    <row r="34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S11"/>
  <sheetViews>
    <sheetView rightToLeft="1" zoomScaleNormal="100" workbookViewId="0">
      <selection activeCell="A2" sqref="A2:Y2"/>
    </sheetView>
  </sheetViews>
  <sheetFormatPr defaultRowHeight="18.75" x14ac:dyDescent="0.2"/>
  <cols>
    <col min="1" max="1" width="28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3.25" style="8" bestFit="1" customWidth="1"/>
    <col min="22" max="16384" width="9" style="8"/>
  </cols>
  <sheetData>
    <row r="2" spans="1:19" ht="26.25" x14ac:dyDescent="0.2">
      <c r="A2" s="54" t="str">
        <f>+سهام!A2</f>
        <v>صندوق سرمایه‌گذاری بخشی صنایع مفید - معدن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</row>
    <row r="3" spans="1:19" ht="26.25" x14ac:dyDescent="0.2">
      <c r="A3" s="54" t="s">
        <v>22</v>
      </c>
      <c r="B3" s="54" t="s">
        <v>22</v>
      </c>
      <c r="C3" s="54" t="s">
        <v>22</v>
      </c>
      <c r="D3" s="54" t="s">
        <v>22</v>
      </c>
      <c r="E3" s="54" t="s">
        <v>22</v>
      </c>
      <c r="F3" s="54" t="s">
        <v>22</v>
      </c>
      <c r="G3" s="54" t="s">
        <v>22</v>
      </c>
      <c r="H3" s="54" t="s">
        <v>22</v>
      </c>
      <c r="I3" s="54" t="s">
        <v>22</v>
      </c>
      <c r="J3" s="54" t="s">
        <v>22</v>
      </c>
      <c r="K3" s="54" t="s">
        <v>22</v>
      </c>
      <c r="L3" s="54" t="s">
        <v>22</v>
      </c>
      <c r="M3" s="54" t="s">
        <v>22</v>
      </c>
      <c r="N3" s="54" t="s">
        <v>22</v>
      </c>
      <c r="O3" s="54" t="s">
        <v>22</v>
      </c>
      <c r="P3" s="54" t="s">
        <v>22</v>
      </c>
      <c r="Q3" s="54" t="s">
        <v>22</v>
      </c>
      <c r="R3" s="54" t="s">
        <v>22</v>
      </c>
      <c r="S3" s="54" t="s">
        <v>22</v>
      </c>
    </row>
    <row r="4" spans="1:19" ht="26.25" x14ac:dyDescent="0.2">
      <c r="A4" s="54" t="str">
        <f>+سهام!A4</f>
        <v>برای ماه منتهی به 1404/11/30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  <c r="R4" s="54" t="s">
        <v>2</v>
      </c>
      <c r="S4" s="54" t="s">
        <v>2</v>
      </c>
    </row>
    <row r="6" spans="1:19" ht="27" thickBot="1" x14ac:dyDescent="0.25">
      <c r="A6" s="57" t="s">
        <v>3</v>
      </c>
      <c r="C6" s="57" t="s">
        <v>53</v>
      </c>
      <c r="D6" s="57" t="s">
        <v>53</v>
      </c>
      <c r="E6" s="57" t="s">
        <v>53</v>
      </c>
      <c r="F6" s="57" t="s">
        <v>53</v>
      </c>
      <c r="G6" s="57" t="s">
        <v>53</v>
      </c>
      <c r="I6" s="57" t="s">
        <v>24</v>
      </c>
      <c r="J6" s="57" t="s">
        <v>24</v>
      </c>
      <c r="K6" s="57" t="s">
        <v>24</v>
      </c>
      <c r="L6" s="57" t="s">
        <v>24</v>
      </c>
      <c r="M6" s="57" t="s">
        <v>24</v>
      </c>
      <c r="O6" s="57" t="s">
        <v>25</v>
      </c>
      <c r="P6" s="57" t="s">
        <v>25</v>
      </c>
      <c r="Q6" s="57" t="s">
        <v>25</v>
      </c>
      <c r="R6" s="57" t="s">
        <v>25</v>
      </c>
      <c r="S6" s="57" t="s">
        <v>25</v>
      </c>
    </row>
    <row r="7" spans="1:19" ht="27" thickBot="1" x14ac:dyDescent="0.25">
      <c r="A7" s="57" t="s">
        <v>3</v>
      </c>
      <c r="C7" s="36" t="s">
        <v>54</v>
      </c>
      <c r="E7" s="36" t="s">
        <v>55</v>
      </c>
      <c r="G7" s="36" t="s">
        <v>56</v>
      </c>
      <c r="I7" s="36" t="s">
        <v>57</v>
      </c>
      <c r="K7" s="36" t="s">
        <v>28</v>
      </c>
      <c r="M7" s="36" t="s">
        <v>58</v>
      </c>
      <c r="O7" s="36" t="s">
        <v>57</v>
      </c>
      <c r="Q7" s="36" t="s">
        <v>28</v>
      </c>
      <c r="S7" s="36" t="s">
        <v>58</v>
      </c>
    </row>
    <row r="8" spans="1:19" ht="21" x14ac:dyDescent="0.2">
      <c r="A8" s="5" t="s">
        <v>61</v>
      </c>
      <c r="C8" s="8" t="s">
        <v>85</v>
      </c>
      <c r="E8" s="8" t="s">
        <v>85</v>
      </c>
      <c r="G8" s="8" t="s">
        <v>85</v>
      </c>
      <c r="I8" s="8">
        <v>0</v>
      </c>
      <c r="K8" s="8">
        <v>0</v>
      </c>
      <c r="M8" s="8">
        <v>0</v>
      </c>
      <c r="O8" s="8">
        <v>26982037900</v>
      </c>
      <c r="Q8" s="8">
        <v>-256274444</v>
      </c>
      <c r="S8" s="8">
        <f>+O8+Q8</f>
        <v>26725763456</v>
      </c>
    </row>
    <row r="9" spans="1:19" ht="21.75" thickBot="1" x14ac:dyDescent="0.25">
      <c r="A9" s="5" t="s">
        <v>80</v>
      </c>
      <c r="C9" s="8" t="s">
        <v>85</v>
      </c>
      <c r="E9" s="8" t="s">
        <v>85</v>
      </c>
      <c r="G9" s="8" t="s">
        <v>85</v>
      </c>
      <c r="I9" s="8">
        <v>0</v>
      </c>
      <c r="K9" s="8">
        <v>0</v>
      </c>
      <c r="M9" s="8">
        <v>0</v>
      </c>
      <c r="O9" s="8">
        <v>2400000000</v>
      </c>
      <c r="Q9" s="8">
        <v>0</v>
      </c>
      <c r="S9" s="8">
        <f>+O9+Q9</f>
        <v>2400000000</v>
      </c>
    </row>
    <row r="10" spans="1:19" s="5" customFormat="1" ht="21.75" thickBot="1" x14ac:dyDescent="0.25">
      <c r="G10" s="8"/>
      <c r="I10" s="6">
        <f>SUM(I8:I9)</f>
        <v>0</v>
      </c>
      <c r="K10" s="6">
        <f>SUM(K8:K9)</f>
        <v>0</v>
      </c>
      <c r="M10" s="6">
        <f>SUM(M8:M9)</f>
        <v>0</v>
      </c>
      <c r="O10" s="6">
        <f>SUM(O8:O9)</f>
        <v>29382037900</v>
      </c>
      <c r="Q10" s="6">
        <f>SUM(Q8:Q9)</f>
        <v>-256274444</v>
      </c>
      <c r="S10" s="6">
        <f>SUM(S8:S9)</f>
        <v>29125763456</v>
      </c>
    </row>
    <row r="11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A2" sqref="A2:Y2"/>
    </sheetView>
  </sheetViews>
  <sheetFormatPr defaultRowHeight="18.75" x14ac:dyDescent="0.45"/>
  <cols>
    <col min="1" max="1" width="22.625" style="18" bestFit="1" customWidth="1"/>
    <col min="2" max="2" width="0.875" style="18" customWidth="1"/>
    <col min="3" max="3" width="32.125" style="18" bestFit="1" customWidth="1"/>
    <col min="4" max="4" width="0.875" style="18" customWidth="1"/>
    <col min="5" max="5" width="27.875" style="18" bestFit="1" customWidth="1"/>
    <col min="6" max="6" width="0.875" style="18" customWidth="1"/>
    <col min="7" max="7" width="32.125" style="18" bestFit="1" customWidth="1"/>
    <col min="8" max="8" width="0.875" style="18" customWidth="1"/>
    <col min="9" max="9" width="27.875" style="18" bestFit="1" customWidth="1"/>
    <col min="10" max="10" width="0.875" style="18" customWidth="1"/>
    <col min="11" max="11" width="8" style="18" customWidth="1"/>
    <col min="12" max="16384" width="9" style="18"/>
  </cols>
  <sheetData>
    <row r="2" spans="1:9" ht="26.25" x14ac:dyDescent="0.45">
      <c r="A2" s="54" t="str">
        <f>+سهام!A2</f>
        <v>صندوق سرمایه‌گذاری بخشی صنایع مفید - معدن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</row>
    <row r="3" spans="1:9" ht="26.25" x14ac:dyDescent="0.45">
      <c r="A3" s="54" t="s">
        <v>22</v>
      </c>
      <c r="B3" s="54" t="s">
        <v>22</v>
      </c>
      <c r="C3" s="54" t="s">
        <v>22</v>
      </c>
      <c r="D3" s="54" t="s">
        <v>22</v>
      </c>
      <c r="E3" s="54" t="s">
        <v>22</v>
      </c>
      <c r="F3" s="54" t="s">
        <v>22</v>
      </c>
      <c r="G3" s="54" t="s">
        <v>22</v>
      </c>
      <c r="H3" s="54" t="s">
        <v>22</v>
      </c>
      <c r="I3" s="54" t="s">
        <v>22</v>
      </c>
    </row>
    <row r="4" spans="1:9" ht="26.25" x14ac:dyDescent="0.45">
      <c r="A4" s="54" t="str">
        <f>+سهام!A4</f>
        <v>برای ماه منتهی به 1404/11/30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</row>
    <row r="6" spans="1:9" ht="27" thickBot="1" x14ac:dyDescent="0.5">
      <c r="A6" s="36" t="s">
        <v>37</v>
      </c>
      <c r="C6" s="57" t="s">
        <v>24</v>
      </c>
      <c r="D6" s="57" t="s">
        <v>24</v>
      </c>
      <c r="E6" s="57" t="s">
        <v>24</v>
      </c>
      <c r="G6" s="57" t="s">
        <v>25</v>
      </c>
      <c r="H6" s="57" t="s">
        <v>25</v>
      </c>
      <c r="I6" s="57" t="s">
        <v>25</v>
      </c>
    </row>
    <row r="7" spans="1:9" ht="27" thickBot="1" x14ac:dyDescent="0.5">
      <c r="A7" s="36" t="s">
        <v>38</v>
      </c>
      <c r="C7" s="36" t="s">
        <v>39</v>
      </c>
      <c r="E7" s="36" t="s">
        <v>40</v>
      </c>
      <c r="G7" s="36" t="s">
        <v>39</v>
      </c>
      <c r="I7" s="36" t="s">
        <v>40</v>
      </c>
    </row>
    <row r="8" spans="1:9" ht="21" x14ac:dyDescent="0.55000000000000004">
      <c r="A8" s="25" t="s">
        <v>43</v>
      </c>
      <c r="B8" s="8"/>
      <c r="C8" s="8">
        <f>+'سود سپرده بانکی'!G8</f>
        <v>631911990</v>
      </c>
      <c r="D8" s="8"/>
      <c r="E8" s="39">
        <f>+C8/$C$10</f>
        <v>0.99996617048397418</v>
      </c>
      <c r="F8" s="8"/>
      <c r="G8" s="8">
        <f>+'سود سپرده بانکی'!M8</f>
        <v>716554352</v>
      </c>
      <c r="H8" s="8"/>
      <c r="I8" s="39">
        <f>+G8/$G$10</f>
        <v>0.99988424828077327</v>
      </c>
    </row>
    <row r="9" spans="1:9" ht="21.75" thickBot="1" x14ac:dyDescent="0.6">
      <c r="A9" s="25" t="s">
        <v>47</v>
      </c>
      <c r="B9" s="8"/>
      <c r="C9" s="8">
        <f>+'سود سپرده بانکی'!G9</f>
        <v>21378</v>
      </c>
      <c r="D9" s="8"/>
      <c r="E9" s="39">
        <f>+C9/$C$10</f>
        <v>3.3829516025809862E-5</v>
      </c>
      <c r="F9" s="8"/>
      <c r="G9" s="8">
        <f>+'سود سپرده بانکی'!M9</f>
        <v>82952</v>
      </c>
      <c r="H9" s="8"/>
      <c r="I9" s="39">
        <f>+G9/$G$10</f>
        <v>1.1575171922671778E-4</v>
      </c>
    </row>
    <row r="10" spans="1:9" ht="24.75" thickBot="1" x14ac:dyDescent="0.6">
      <c r="A10" s="18" t="s">
        <v>15</v>
      </c>
      <c r="B10" s="25"/>
      <c r="C10" s="26">
        <f>SUM(C8:C9)</f>
        <v>631933368</v>
      </c>
      <c r="D10" s="27"/>
      <c r="E10" s="40">
        <f>SUM(E8:E9)</f>
        <v>1</v>
      </c>
      <c r="F10" s="27"/>
      <c r="G10" s="26">
        <f>SUM(G8:G9)</f>
        <v>716637304</v>
      </c>
      <c r="H10" s="27"/>
      <c r="I10" s="40">
        <f>SUM(I8:I9)</f>
        <v>1</v>
      </c>
    </row>
    <row r="11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A2" sqref="A2:Y2"/>
    </sheetView>
  </sheetViews>
  <sheetFormatPr defaultRowHeight="18.75" x14ac:dyDescent="0.2"/>
  <cols>
    <col min="1" max="1" width="22.625" style="8" bestFit="1" customWidth="1"/>
    <col min="2" max="2" width="0.875" style="8" customWidth="1"/>
    <col min="3" max="3" width="18.375" style="8" customWidth="1"/>
    <col min="4" max="4" width="0.875" style="8" customWidth="1"/>
    <col min="5" max="5" width="16.12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6.125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4" t="str">
        <f>+سهام!A2</f>
        <v>صندوق سرمایه‌گذاری بخشی صنایع مفید - معدن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</row>
    <row r="3" spans="1:13" ht="26.25" x14ac:dyDescent="0.2">
      <c r="A3" s="54" t="s">
        <v>22</v>
      </c>
      <c r="B3" s="54" t="s">
        <v>22</v>
      </c>
      <c r="C3" s="54" t="s">
        <v>22</v>
      </c>
      <c r="D3" s="54" t="s">
        <v>22</v>
      </c>
      <c r="E3" s="54" t="s">
        <v>22</v>
      </c>
      <c r="F3" s="54" t="s">
        <v>22</v>
      </c>
      <c r="G3" s="54" t="s">
        <v>22</v>
      </c>
      <c r="H3" s="54" t="s">
        <v>22</v>
      </c>
      <c r="I3" s="54" t="s">
        <v>22</v>
      </c>
      <c r="J3" s="54" t="s">
        <v>22</v>
      </c>
      <c r="K3" s="54" t="s">
        <v>22</v>
      </c>
      <c r="L3" s="54" t="s">
        <v>22</v>
      </c>
      <c r="M3" s="54" t="s">
        <v>22</v>
      </c>
    </row>
    <row r="4" spans="1:13" ht="26.25" x14ac:dyDescent="0.2">
      <c r="A4" s="54" t="str">
        <f>+سهام!A4</f>
        <v>برای ماه منتهی به 1404/11/30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</row>
    <row r="6" spans="1:13" ht="27" thickBot="1" x14ac:dyDescent="0.25">
      <c r="A6" s="57" t="s">
        <v>23</v>
      </c>
      <c r="B6" s="57" t="s">
        <v>23</v>
      </c>
      <c r="C6" s="57" t="s">
        <v>24</v>
      </c>
      <c r="D6" s="57" t="s">
        <v>24</v>
      </c>
      <c r="E6" s="57" t="s">
        <v>24</v>
      </c>
      <c r="F6" s="57" t="s">
        <v>24</v>
      </c>
      <c r="G6" s="57" t="s">
        <v>24</v>
      </c>
      <c r="I6" s="57" t="s">
        <v>25</v>
      </c>
      <c r="J6" s="57" t="s">
        <v>25</v>
      </c>
      <c r="K6" s="57" t="s">
        <v>25</v>
      </c>
      <c r="L6" s="57" t="s">
        <v>25</v>
      </c>
      <c r="M6" s="57" t="s">
        <v>25</v>
      </c>
    </row>
    <row r="7" spans="1:13" ht="27" thickBot="1" x14ac:dyDescent="0.25">
      <c r="A7" s="36" t="s">
        <v>26</v>
      </c>
      <c r="C7" s="36" t="s">
        <v>27</v>
      </c>
      <c r="E7" s="36" t="s">
        <v>28</v>
      </c>
      <c r="G7" s="36" t="s">
        <v>29</v>
      </c>
      <c r="I7" s="36" t="s">
        <v>27</v>
      </c>
      <c r="K7" s="36" t="s">
        <v>28</v>
      </c>
      <c r="M7" s="36" t="s">
        <v>29</v>
      </c>
    </row>
    <row r="8" spans="1:13" ht="19.5" customHeight="1" x14ac:dyDescent="0.2">
      <c r="A8" s="5" t="s">
        <v>43</v>
      </c>
      <c r="C8" s="8">
        <v>631911990</v>
      </c>
      <c r="E8" s="8">
        <v>0</v>
      </c>
      <c r="G8" s="8">
        <f>+C8-E8</f>
        <v>631911990</v>
      </c>
      <c r="I8" s="8">
        <v>716554352</v>
      </c>
      <c r="K8" s="8">
        <v>0</v>
      </c>
      <c r="M8" s="8">
        <f>+I8-K8</f>
        <v>716554352</v>
      </c>
    </row>
    <row r="9" spans="1:13" ht="19.5" customHeight="1" thickBot="1" x14ac:dyDescent="0.25">
      <c r="A9" s="5" t="s">
        <v>47</v>
      </c>
      <c r="C9" s="8">
        <v>21378</v>
      </c>
      <c r="E9" s="8">
        <v>0</v>
      </c>
      <c r="G9" s="8">
        <f t="shared" ref="G9" si="0">+C9-E9</f>
        <v>21378</v>
      </c>
      <c r="I9" s="8">
        <v>82952</v>
      </c>
      <c r="K9" s="8">
        <v>0</v>
      </c>
      <c r="M9" s="8">
        <f t="shared" ref="M9" si="1">+I9-K9</f>
        <v>82952</v>
      </c>
    </row>
    <row r="10" spans="1:13" s="5" customFormat="1" ht="21.75" thickBot="1" x14ac:dyDescent="0.25">
      <c r="A10" s="5" t="s">
        <v>15</v>
      </c>
      <c r="C10" s="6">
        <f>SUM(C8:C9)</f>
        <v>631933368</v>
      </c>
      <c r="E10" s="6">
        <f>SUM(E8:E9)</f>
        <v>0</v>
      </c>
      <c r="G10" s="6">
        <f>SUM(G8:G9)</f>
        <v>631933368</v>
      </c>
      <c r="I10" s="6">
        <f>SUM(I8:I9)</f>
        <v>716637304</v>
      </c>
      <c r="K10" s="6">
        <f>SUM(K8:K9)</f>
        <v>0</v>
      </c>
      <c r="M10" s="6">
        <f>SUM(M8:M9)</f>
        <v>716637304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S28"/>
  <sheetViews>
    <sheetView rightToLeft="1" zoomScale="80" zoomScaleNormal="80" workbookViewId="0">
      <selection activeCell="A2" sqref="A2:Y2"/>
    </sheetView>
  </sheetViews>
  <sheetFormatPr defaultRowHeight="22.5" x14ac:dyDescent="0.2"/>
  <cols>
    <col min="1" max="1" width="29.375" style="15" bestFit="1" customWidth="1"/>
    <col min="2" max="2" width="0.875" style="15" customWidth="1"/>
    <col min="3" max="3" width="15.75" style="15" customWidth="1"/>
    <col min="4" max="4" width="0.875" style="15" customWidth="1"/>
    <col min="5" max="5" width="19.25" style="15" customWidth="1"/>
    <col min="6" max="6" width="0.875" style="15" customWidth="1"/>
    <col min="7" max="7" width="20.25" style="15" bestFit="1" customWidth="1"/>
    <col min="8" max="8" width="0.875" style="15" customWidth="1"/>
    <col min="9" max="9" width="24.5" style="15" customWidth="1"/>
    <col min="10" max="10" width="0.875" style="15" customWidth="1"/>
    <col min="11" max="11" width="16.625" style="15" customWidth="1"/>
    <col min="12" max="12" width="0.875" style="15" customWidth="1"/>
    <col min="13" max="13" width="21.125" style="15" bestFit="1" customWidth="1"/>
    <col min="14" max="14" width="0.875" style="15" customWidth="1"/>
    <col min="15" max="15" width="20.125" style="15" customWidth="1"/>
    <col min="16" max="16" width="0.875" style="15" customWidth="1"/>
    <col min="17" max="17" width="24.5" style="15" customWidth="1"/>
    <col min="18" max="18" width="0.875" style="15" customWidth="1"/>
    <col min="19" max="19" width="17" style="15" bestFit="1" customWidth="1"/>
    <col min="20" max="16384" width="9" style="15"/>
  </cols>
  <sheetData>
    <row r="2" spans="1:19" ht="24" x14ac:dyDescent="0.2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</row>
    <row r="3" spans="1:19" ht="24" x14ac:dyDescent="0.2">
      <c r="A3" s="58" t="s">
        <v>22</v>
      </c>
      <c r="B3" s="58" t="s">
        <v>22</v>
      </c>
      <c r="C3" s="58" t="s">
        <v>22</v>
      </c>
      <c r="D3" s="58" t="s">
        <v>22</v>
      </c>
      <c r="E3" s="58" t="s">
        <v>22</v>
      </c>
      <c r="F3" s="58" t="s">
        <v>22</v>
      </c>
      <c r="G3" s="58" t="s">
        <v>22</v>
      </c>
      <c r="H3" s="58" t="s">
        <v>22</v>
      </c>
      <c r="I3" s="58" t="s">
        <v>22</v>
      </c>
      <c r="J3" s="58" t="s">
        <v>22</v>
      </c>
      <c r="K3" s="58" t="s">
        <v>22</v>
      </c>
      <c r="L3" s="58" t="s">
        <v>22</v>
      </c>
      <c r="M3" s="58" t="s">
        <v>22</v>
      </c>
      <c r="N3" s="58" t="s">
        <v>22</v>
      </c>
      <c r="O3" s="58" t="s">
        <v>22</v>
      </c>
      <c r="P3" s="58" t="s">
        <v>22</v>
      </c>
      <c r="Q3" s="58" t="s">
        <v>22</v>
      </c>
    </row>
    <row r="4" spans="1:19" ht="24" x14ac:dyDescent="0.2">
      <c r="A4" s="58" t="str">
        <f>+سهام!A4</f>
        <v>برای ماه منتهی به 1404/11/30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</row>
    <row r="6" spans="1:19" ht="24.75" thickBot="1" x14ac:dyDescent="0.25">
      <c r="A6" s="58" t="s">
        <v>3</v>
      </c>
      <c r="C6" s="59" t="s">
        <v>24</v>
      </c>
      <c r="D6" s="59" t="s">
        <v>24</v>
      </c>
      <c r="E6" s="59" t="s">
        <v>24</v>
      </c>
      <c r="F6" s="59" t="s">
        <v>24</v>
      </c>
      <c r="G6" s="59" t="s">
        <v>24</v>
      </c>
      <c r="H6" s="59" t="s">
        <v>24</v>
      </c>
      <c r="I6" s="59" t="s">
        <v>24</v>
      </c>
      <c r="K6" s="59" t="s">
        <v>25</v>
      </c>
      <c r="L6" s="59" t="s">
        <v>25</v>
      </c>
      <c r="M6" s="59" t="s">
        <v>25</v>
      </c>
      <c r="N6" s="59" t="s">
        <v>25</v>
      </c>
      <c r="O6" s="59" t="s">
        <v>25</v>
      </c>
      <c r="P6" s="59" t="s">
        <v>25</v>
      </c>
      <c r="Q6" s="59" t="s">
        <v>25</v>
      </c>
    </row>
    <row r="7" spans="1:19" ht="24.75" thickBot="1" x14ac:dyDescent="0.25">
      <c r="A7" s="59" t="s">
        <v>3</v>
      </c>
      <c r="C7" s="33" t="s">
        <v>7</v>
      </c>
      <c r="E7" s="33" t="s">
        <v>30</v>
      </c>
      <c r="G7" s="33" t="s">
        <v>31</v>
      </c>
      <c r="I7" s="33" t="s">
        <v>59</v>
      </c>
      <c r="K7" s="33" t="s">
        <v>7</v>
      </c>
      <c r="M7" s="33" t="s">
        <v>30</v>
      </c>
      <c r="O7" s="33" t="s">
        <v>31</v>
      </c>
      <c r="Q7" s="33" t="s">
        <v>59</v>
      </c>
    </row>
    <row r="8" spans="1:19" ht="24" x14ac:dyDescent="0.45">
      <c r="A8" s="24" t="s">
        <v>62</v>
      </c>
      <c r="C8" s="15">
        <v>2410555</v>
      </c>
      <c r="E8" s="15">
        <v>3989724959</v>
      </c>
      <c r="G8" s="15">
        <v>4192273831</v>
      </c>
      <c r="I8" s="15">
        <f>+E8-G8</f>
        <v>-202548872</v>
      </c>
      <c r="K8" s="15">
        <v>2410555</v>
      </c>
      <c r="M8" s="15">
        <v>3989724959</v>
      </c>
      <c r="O8" s="15">
        <v>4192273831</v>
      </c>
      <c r="Q8" s="15">
        <f>+M8-O8</f>
        <v>-202548872</v>
      </c>
      <c r="S8" s="34"/>
    </row>
    <row r="9" spans="1:19" ht="24" x14ac:dyDescent="0.45">
      <c r="A9" s="24" t="s">
        <v>52</v>
      </c>
      <c r="C9" s="15">
        <v>12660000</v>
      </c>
      <c r="E9" s="15">
        <v>33430608567</v>
      </c>
      <c r="G9" s="15">
        <v>38720956772</v>
      </c>
      <c r="I9" s="15">
        <f t="shared" ref="I9:I24" si="0">+E9-G9</f>
        <v>-5290348205</v>
      </c>
      <c r="K9" s="15">
        <v>15760000</v>
      </c>
      <c r="M9" s="15">
        <v>42960171333</v>
      </c>
      <c r="O9" s="15">
        <v>48202391663</v>
      </c>
      <c r="Q9" s="15">
        <f t="shared" ref="Q9:Q24" si="1">+M9-O9</f>
        <v>-5242220330</v>
      </c>
      <c r="S9" s="34"/>
    </row>
    <row r="10" spans="1:19" ht="24" x14ac:dyDescent="0.45">
      <c r="A10" s="24" t="s">
        <v>63</v>
      </c>
      <c r="C10" s="15">
        <v>4500000</v>
      </c>
      <c r="E10" s="15">
        <v>75286028610</v>
      </c>
      <c r="G10" s="15">
        <v>84571172100</v>
      </c>
      <c r="I10" s="15">
        <f t="shared" si="0"/>
        <v>-9285143490</v>
      </c>
      <c r="K10" s="15">
        <v>4500000</v>
      </c>
      <c r="M10" s="15">
        <v>75286028610</v>
      </c>
      <c r="O10" s="15">
        <v>84571172100</v>
      </c>
      <c r="Q10" s="15">
        <f t="shared" si="1"/>
        <v>-9285143490</v>
      </c>
      <c r="S10" s="34"/>
    </row>
    <row r="11" spans="1:19" ht="24" x14ac:dyDescent="0.45">
      <c r="A11" s="24" t="s">
        <v>74</v>
      </c>
      <c r="C11" s="15">
        <v>0</v>
      </c>
      <c r="E11" s="15">
        <v>0</v>
      </c>
      <c r="G11" s="15">
        <v>0</v>
      </c>
      <c r="I11" s="15">
        <f t="shared" si="0"/>
        <v>0</v>
      </c>
      <c r="K11" s="15">
        <v>15000</v>
      </c>
      <c r="M11" s="15">
        <v>540291021</v>
      </c>
      <c r="O11" s="15">
        <v>442056285</v>
      </c>
      <c r="Q11" s="15">
        <f t="shared" si="1"/>
        <v>98234736</v>
      </c>
      <c r="S11" s="34"/>
    </row>
    <row r="12" spans="1:19" ht="24" x14ac:dyDescent="0.45">
      <c r="A12" s="24" t="s">
        <v>81</v>
      </c>
      <c r="C12" s="15">
        <v>1356501</v>
      </c>
      <c r="E12" s="15">
        <v>10471998825</v>
      </c>
      <c r="G12" s="15">
        <v>8706892444</v>
      </c>
      <c r="I12" s="15">
        <f t="shared" si="0"/>
        <v>1765106381</v>
      </c>
      <c r="K12" s="15">
        <v>1356501</v>
      </c>
      <c r="M12" s="15">
        <v>10471998825</v>
      </c>
      <c r="O12" s="15">
        <v>8706892444</v>
      </c>
      <c r="Q12" s="15">
        <f t="shared" si="1"/>
        <v>1765106381</v>
      </c>
      <c r="S12" s="34"/>
    </row>
    <row r="13" spans="1:19" ht="24" x14ac:dyDescent="0.45">
      <c r="A13" s="24" t="s">
        <v>64</v>
      </c>
      <c r="C13" s="15">
        <v>700000</v>
      </c>
      <c r="E13" s="15">
        <v>10057648774</v>
      </c>
      <c r="G13" s="15">
        <v>9863163800</v>
      </c>
      <c r="I13" s="15">
        <f t="shared" si="0"/>
        <v>194484974</v>
      </c>
      <c r="K13" s="15">
        <v>700000</v>
      </c>
      <c r="M13" s="15">
        <v>10057648774</v>
      </c>
      <c r="O13" s="15">
        <v>9863163800</v>
      </c>
      <c r="Q13" s="15">
        <f t="shared" si="1"/>
        <v>194484974</v>
      </c>
      <c r="S13" s="34"/>
    </row>
    <row r="14" spans="1:19" ht="24" x14ac:dyDescent="0.45">
      <c r="A14" s="24" t="s">
        <v>46</v>
      </c>
      <c r="C14" s="15">
        <v>400000</v>
      </c>
      <c r="E14" s="15">
        <v>5524959402</v>
      </c>
      <c r="G14" s="15">
        <v>5378103398</v>
      </c>
      <c r="I14" s="15">
        <f t="shared" si="0"/>
        <v>146856004</v>
      </c>
      <c r="K14" s="15">
        <v>400000</v>
      </c>
      <c r="M14" s="15">
        <v>5524959402</v>
      </c>
      <c r="O14" s="15">
        <v>5378103398</v>
      </c>
      <c r="Q14" s="15">
        <f t="shared" si="1"/>
        <v>146856004</v>
      </c>
      <c r="S14" s="34"/>
    </row>
    <row r="15" spans="1:19" ht="24" x14ac:dyDescent="0.45">
      <c r="A15" s="24" t="s">
        <v>51</v>
      </c>
      <c r="C15" s="15">
        <v>24200000</v>
      </c>
      <c r="E15" s="15">
        <v>60785613346</v>
      </c>
      <c r="G15" s="15">
        <v>61329033386</v>
      </c>
      <c r="I15" s="15">
        <f t="shared" si="0"/>
        <v>-543420040</v>
      </c>
      <c r="K15" s="15">
        <v>28674706</v>
      </c>
      <c r="M15" s="15">
        <v>72205593128</v>
      </c>
      <c r="O15" s="15">
        <v>72669090957</v>
      </c>
      <c r="Q15" s="15">
        <f t="shared" si="1"/>
        <v>-463497829</v>
      </c>
      <c r="S15" s="34"/>
    </row>
    <row r="16" spans="1:19" ht="24" x14ac:dyDescent="0.45">
      <c r="A16" s="24" t="s">
        <v>67</v>
      </c>
      <c r="C16" s="15">
        <v>145000</v>
      </c>
      <c r="E16" s="15">
        <v>9684604835</v>
      </c>
      <c r="G16" s="15">
        <v>6477439333</v>
      </c>
      <c r="I16" s="15">
        <f t="shared" si="0"/>
        <v>3207165502</v>
      </c>
      <c r="K16" s="15">
        <v>145000</v>
      </c>
      <c r="M16" s="15">
        <v>9684604835</v>
      </c>
      <c r="O16" s="15">
        <v>6477439333</v>
      </c>
      <c r="Q16" s="15">
        <f t="shared" si="1"/>
        <v>3207165502</v>
      </c>
      <c r="S16" s="34"/>
    </row>
    <row r="17" spans="1:19" ht="24" x14ac:dyDescent="0.45">
      <c r="A17" s="24" t="s">
        <v>86</v>
      </c>
      <c r="C17" s="15">
        <v>200000</v>
      </c>
      <c r="E17" s="15">
        <v>1024022656</v>
      </c>
      <c r="G17" s="15">
        <v>946696315</v>
      </c>
      <c r="I17" s="15">
        <f t="shared" si="0"/>
        <v>77326341</v>
      </c>
      <c r="K17" s="15">
        <v>200000</v>
      </c>
      <c r="M17" s="15">
        <v>1024022656</v>
      </c>
      <c r="O17" s="15">
        <v>946696315</v>
      </c>
      <c r="Q17" s="15">
        <f t="shared" si="1"/>
        <v>77326341</v>
      </c>
      <c r="S17" s="34"/>
    </row>
    <row r="18" spans="1:19" ht="24" x14ac:dyDescent="0.45">
      <c r="A18" s="24" t="s">
        <v>70</v>
      </c>
      <c r="C18" s="15">
        <v>170000</v>
      </c>
      <c r="E18" s="15">
        <v>657031583</v>
      </c>
      <c r="G18" s="15">
        <v>693467735</v>
      </c>
      <c r="I18" s="15">
        <f t="shared" si="0"/>
        <v>-36436152</v>
      </c>
      <c r="K18" s="15">
        <v>170000</v>
      </c>
      <c r="M18" s="15">
        <v>657031583</v>
      </c>
      <c r="O18" s="15">
        <v>693467735</v>
      </c>
      <c r="Q18" s="15">
        <f t="shared" si="1"/>
        <v>-36436152</v>
      </c>
      <c r="S18" s="34"/>
    </row>
    <row r="19" spans="1:19" ht="24" x14ac:dyDescent="0.45">
      <c r="A19" s="24" t="s">
        <v>48</v>
      </c>
      <c r="C19" s="15">
        <v>7982672</v>
      </c>
      <c r="E19" s="15">
        <v>63195610172</v>
      </c>
      <c r="G19" s="15">
        <v>62021163356</v>
      </c>
      <c r="I19" s="15">
        <f t="shared" si="0"/>
        <v>1174446816</v>
      </c>
      <c r="K19" s="15">
        <v>9030747</v>
      </c>
      <c r="M19" s="15">
        <v>72386684777</v>
      </c>
      <c r="O19" s="15">
        <v>70164154923</v>
      </c>
      <c r="Q19" s="15">
        <f t="shared" si="1"/>
        <v>2222529854</v>
      </c>
      <c r="S19" s="34"/>
    </row>
    <row r="20" spans="1:19" ht="24" x14ac:dyDescent="0.45">
      <c r="A20" s="24" t="s">
        <v>61</v>
      </c>
      <c r="C20" s="15">
        <v>3967947</v>
      </c>
      <c r="E20" s="15">
        <v>11786996161</v>
      </c>
      <c r="G20" s="15">
        <v>15571921711</v>
      </c>
      <c r="I20" s="15">
        <f t="shared" si="0"/>
        <v>-3784925550</v>
      </c>
      <c r="K20" s="15">
        <v>3967947</v>
      </c>
      <c r="M20" s="15">
        <v>11786996161</v>
      </c>
      <c r="O20" s="15">
        <v>15571921711</v>
      </c>
      <c r="Q20" s="15">
        <f t="shared" si="1"/>
        <v>-3784925550</v>
      </c>
      <c r="S20" s="34"/>
    </row>
    <row r="21" spans="1:19" ht="24" x14ac:dyDescent="0.45">
      <c r="A21" s="24" t="s">
        <v>79</v>
      </c>
      <c r="C21" s="15">
        <v>200000</v>
      </c>
      <c r="E21" s="15">
        <v>11486517528</v>
      </c>
      <c r="G21" s="15">
        <v>8336148496</v>
      </c>
      <c r="I21" s="15">
        <f t="shared" si="0"/>
        <v>3150369032</v>
      </c>
      <c r="K21" s="15">
        <v>200000</v>
      </c>
      <c r="M21" s="15">
        <v>11486517528</v>
      </c>
      <c r="O21" s="15">
        <v>8336148496</v>
      </c>
      <c r="Q21" s="15">
        <f t="shared" si="1"/>
        <v>3150369032</v>
      </c>
      <c r="S21" s="34"/>
    </row>
    <row r="22" spans="1:19" ht="24" x14ac:dyDescent="0.45">
      <c r="A22" s="24" t="s">
        <v>69</v>
      </c>
      <c r="C22" s="15">
        <v>125000</v>
      </c>
      <c r="E22" s="15">
        <v>4966311356</v>
      </c>
      <c r="G22" s="15">
        <v>3615583811</v>
      </c>
      <c r="I22" s="15">
        <f t="shared" si="0"/>
        <v>1350727545</v>
      </c>
      <c r="K22" s="15">
        <v>125000</v>
      </c>
      <c r="M22" s="15">
        <v>4966311356</v>
      </c>
      <c r="O22" s="15">
        <v>3615583811</v>
      </c>
      <c r="Q22" s="15">
        <f t="shared" si="1"/>
        <v>1350727545</v>
      </c>
      <c r="S22" s="34"/>
    </row>
    <row r="23" spans="1:19" ht="24" x14ac:dyDescent="0.45">
      <c r="A23" s="24" t="s">
        <v>72</v>
      </c>
      <c r="C23" s="15">
        <v>0</v>
      </c>
      <c r="E23" s="15">
        <v>0</v>
      </c>
      <c r="G23" s="15">
        <v>0</v>
      </c>
      <c r="I23" s="15">
        <f t="shared" si="0"/>
        <v>0</v>
      </c>
      <c r="K23" s="15">
        <v>30000</v>
      </c>
      <c r="M23" s="15">
        <v>648149641</v>
      </c>
      <c r="O23" s="15">
        <v>603101706</v>
      </c>
      <c r="Q23" s="15">
        <f t="shared" si="1"/>
        <v>45047935</v>
      </c>
      <c r="S23" s="34"/>
    </row>
    <row r="24" spans="1:19" ht="24.75" thickBot="1" x14ac:dyDescent="0.5">
      <c r="A24" s="24" t="s">
        <v>50</v>
      </c>
      <c r="C24" s="15">
        <v>32644057</v>
      </c>
      <c r="E24" s="15">
        <v>107163257911</v>
      </c>
      <c r="G24" s="15">
        <v>107767247433</v>
      </c>
      <c r="I24" s="15">
        <f t="shared" si="0"/>
        <v>-603989522</v>
      </c>
      <c r="K24" s="15">
        <v>32644057</v>
      </c>
      <c r="M24" s="15">
        <v>107163257911</v>
      </c>
      <c r="O24" s="15">
        <v>107767247433</v>
      </c>
      <c r="Q24" s="15">
        <f t="shared" si="1"/>
        <v>-603989522</v>
      </c>
      <c r="S24" s="34"/>
    </row>
    <row r="25" spans="1:19" ht="24.75" thickBot="1" x14ac:dyDescent="0.25">
      <c r="E25" s="16">
        <f>SUM(E8:E24)</f>
        <v>409510934685</v>
      </c>
      <c r="F25" s="17"/>
      <c r="G25" s="16">
        <f>SUM(G8:G24)</f>
        <v>418191263921</v>
      </c>
      <c r="H25" s="17"/>
      <c r="I25" s="16">
        <f>SUM(I8:I24)</f>
        <v>-8680329236</v>
      </c>
      <c r="J25" s="17"/>
      <c r="K25" s="17" t="s">
        <v>15</v>
      </c>
      <c r="L25" s="17"/>
      <c r="M25" s="16">
        <f>SUM(M8:M24)</f>
        <v>440839992500</v>
      </c>
      <c r="N25" s="17"/>
      <c r="O25" s="16">
        <f>SUM(O8:O24)</f>
        <v>448200905941</v>
      </c>
      <c r="P25" s="17"/>
      <c r="Q25" s="16">
        <f>SUM(Q8:Q24)</f>
        <v>-7360913441</v>
      </c>
    </row>
    <row r="26" spans="1:19" ht="23.25" thickTop="1" x14ac:dyDescent="0.2"/>
    <row r="28" spans="1:19" x14ac:dyDescent="0.45">
      <c r="I28" s="3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2026-02-23T18:30:00Z</dcterms:modified>
</cp:coreProperties>
</file>